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9450" windowHeight="6735" activeTab="0"/>
  </bookViews>
  <sheets>
    <sheet name="Introduction" sheetId="1" r:id="rId1"/>
    <sheet name="Master Mitigation" sheetId="2" r:id="rId2"/>
    <sheet name="Net Savings" sheetId="3" r:id="rId3"/>
    <sheet name="Charts" sheetId="4" r:id="rId4"/>
    <sheet name="Boston GHG Inventory" sheetId="5" r:id="rId5"/>
    <sheet name="Boston Energy Use" sheetId="6" r:id="rId6"/>
    <sheet name="Appliance Standards" sheetId="7" r:id="rId7"/>
    <sheet name="Utility Energy Efficiency" sheetId="8" r:id="rId8"/>
    <sheet name="VMT Reduction" sheetId="9" r:id="rId9"/>
    <sheet name="Vehicle Efficiency" sheetId="10" r:id="rId10"/>
    <sheet name="Solid Waste-Recycling" sheetId="11" r:id="rId11"/>
    <sheet name="Low Carbon Fuel Standard" sheetId="12" r:id="rId12"/>
    <sheet name="Anti-idling" sheetId="13" r:id="rId13"/>
    <sheet name="Labeling + Retrofit Ord." sheetId="14" r:id="rId14"/>
    <sheet name="Building Code &amp; Stretch Code" sheetId="15" r:id="rId15"/>
    <sheet name="Cool Roofs" sheetId="16" r:id="rId16"/>
    <sheet name="Green Roofs" sheetId="17" r:id="rId17"/>
    <sheet name="Behavior Changes" sheetId="18" r:id="rId18"/>
    <sheet name="RPS" sheetId="19" r:id="rId19"/>
  </sheets>
  <externalReferences>
    <externalReference r:id="rId22"/>
    <externalReference r:id="rId23"/>
    <externalReference r:id="rId24"/>
  </externalReferences>
  <definedNames/>
  <calcPr fullCalcOnLoad="1"/>
</workbook>
</file>

<file path=xl/comments16.xml><?xml version="1.0" encoding="utf-8"?>
<comments xmlns="http://schemas.openxmlformats.org/spreadsheetml/2006/main">
  <authors>
    <author>Solar Study</author>
  </authors>
  <commentList>
    <comment ref="A1" authorId="0">
      <text>
        <r>
          <rPr>
            <b/>
            <sz val="8"/>
            <rFont val="Tahoma"/>
            <family val="2"/>
          </rPr>
          <t>Adjustable Inputs in Green</t>
        </r>
      </text>
    </comment>
    <comment ref="B30" authorId="0">
      <text>
        <r>
          <rPr>
            <sz val="8"/>
            <rFont val="Tahoma"/>
            <family val="2"/>
          </rPr>
          <t>Akbari, H., S. Menon, and A. Rosenfeld. 2008. “Global cooling: increasing solar reflectance of urban areas to offset
CO2,” In press, Climatic Change. Hashem Akbari is a senior scientist.</t>
        </r>
      </text>
    </comment>
    <comment ref="B69"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comments17.xml><?xml version="1.0" encoding="utf-8"?>
<comments xmlns="http://schemas.openxmlformats.org/spreadsheetml/2006/main">
  <authors>
    <author>Solar Study</author>
  </authors>
  <commentList>
    <comment ref="B25" authorId="0">
      <text>
        <r>
          <rPr>
            <sz val="8"/>
            <rFont val="Tahoma"/>
            <family val="2"/>
          </rPr>
          <t>Akbari, H., S. Menon, and A. Rosenfeld. 2008. “Global cooling: increasing solar reflectance of urban areas to offset
CO2,” In press, Climatic Change. Hashem Akbari is a senior scientist.</t>
        </r>
      </text>
    </comment>
  </commentList>
</comments>
</file>

<file path=xl/sharedStrings.xml><?xml version="1.0" encoding="utf-8"?>
<sst xmlns="http://schemas.openxmlformats.org/spreadsheetml/2006/main" count="1130" uniqueCount="655">
  <si>
    <t>Assumptions (residential):</t>
  </si>
  <si>
    <t>Assumptions (commercial):</t>
  </si>
  <si>
    <t xml:space="preserve">annual reduction in community residential electricity consumption per year </t>
  </si>
  <si>
    <t xml:space="preserve">total reduction in community residential electricity consumption per year by 2020 </t>
  </si>
  <si>
    <t xml:space="preserve">annual reduction in community residential NG consumption per year </t>
  </si>
  <si>
    <t xml:space="preserve">total reduction in community residential NG and oil consumption per year by 2020 </t>
  </si>
  <si>
    <t xml:space="preserve">annual reduction in  C/I electricity consumption per year </t>
  </si>
  <si>
    <t xml:space="preserve">total reduction in C/I electricity consumption per year by 2020 </t>
  </si>
  <si>
    <t xml:space="preserve">annual reduction in community C/I NG consumption per year </t>
  </si>
  <si>
    <t xml:space="preserve">total reduction in community C/I NG consumption per year by 2020 </t>
  </si>
  <si>
    <t xml:space="preserve">residential electricity </t>
  </si>
  <si>
    <t xml:space="preserve">residential Oil and NG </t>
  </si>
  <si>
    <t xml:space="preserve">residential NG </t>
  </si>
  <si>
    <t>years - length of time labeling requirement in effect</t>
  </si>
  <si>
    <t>total reduction in community residential NG consumption per year by 2020</t>
  </si>
  <si>
    <t xml:space="preserve">annual reduction in community C/I electricity consumption per year </t>
  </si>
  <si>
    <t>total reduction in community C/I electricity consumption per year by 2020</t>
  </si>
  <si>
    <t>years avg. measure life, assuming 2010 start year</t>
  </si>
  <si>
    <t>Gasoline and Diesel fuels are treated separately (i.e. there will be a gas LCFS and a diesel LCFS)</t>
  </si>
  <si>
    <t>Given uncertainty at this time of the LCFS timeline, requirements, etc., we assume LCFS combined w/National RFS will result in 5% reduction in GHG by 2020 of Transportation Fuel and Heating Oil GHG</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</si>
  <si>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</si>
  <si>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</si>
  <si>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</si>
  <si>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</si>
  <si>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</si>
  <si>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</si>
  <si>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Green Roofing Savings</t>
  </si>
  <si>
    <t>Two-Year Emission Uptake by Vegetation (Short ton CO2/Sq. Ft.)</t>
  </si>
  <si>
    <t>One-time Emission Uptake by Vegetation (Short ton CO2/Sq. Ft.)</t>
  </si>
  <si>
    <t>One-time Emission Offset (Short ton CO2/Sq. Ft.)</t>
  </si>
  <si>
    <t>Boston C/I</t>
  </si>
  <si>
    <t>Total Rooftop Area (Sq. Ft.)</t>
  </si>
  <si>
    <t>Roofing Replacement (Years)</t>
  </si>
  <si>
    <t>New  C/I, Year-over-Year Growth Rate</t>
  </si>
  <si>
    <t>Average Rooftop Area</t>
  </si>
  <si>
    <t>Avg Roofprint Sq Ft</t>
  </si>
  <si>
    <t>Boston GHG Emissions Reduction (Mitigation) Strategies</t>
  </si>
  <si>
    <t>Buildings</t>
  </si>
  <si>
    <t>Transportation</t>
  </si>
  <si>
    <t>Other</t>
  </si>
  <si>
    <t>Total</t>
  </si>
  <si>
    <t>2020 Baseline</t>
  </si>
  <si>
    <t>2020 Reduction Strategies</t>
  </si>
  <si>
    <t>%</t>
  </si>
  <si>
    <t>CAFÉ/Pavley</t>
  </si>
  <si>
    <t>Low-Carbon Fuel Standard/Renewable Fuel Standard</t>
  </si>
  <si>
    <t>Vehicle Mile Traveled Reduction Strategies</t>
  </si>
  <si>
    <t xml:space="preserve">   Bike Programs</t>
  </si>
  <si>
    <t xml:space="preserve">   Car Sharing</t>
  </si>
  <si>
    <t xml:space="preserve">   Other Programs--Mass Transit/Parking</t>
  </si>
  <si>
    <t>Renewable Portfolio Standard</t>
  </si>
  <si>
    <t>Building Codes</t>
  </si>
  <si>
    <t>Stretch Building Code</t>
  </si>
  <si>
    <t>Appliance Standards</t>
  </si>
  <si>
    <t>Benchmarking and Labeling</t>
  </si>
  <si>
    <t>Energy Efficiency Retrofit Ordinances</t>
  </si>
  <si>
    <t>Oil Heat Efficiency Program</t>
  </si>
  <si>
    <t>Residential Solid Waste Reduction</t>
  </si>
  <si>
    <t>Cool Roofs</t>
  </si>
  <si>
    <t>Tons (000)</t>
  </si>
  <si>
    <t>LCFS For Heating Fuels</t>
  </si>
  <si>
    <t>Boston Community Greenhouse Gas Inventory</t>
  </si>
  <si>
    <t>Projected Numbers</t>
  </si>
  <si>
    <t>Updated: 09/23/09</t>
  </si>
  <si>
    <t>Residential</t>
  </si>
  <si>
    <t>Electricity (kWh)</t>
  </si>
  <si>
    <t>Natural Gas (therms)</t>
  </si>
  <si>
    <t>Fuel Oil (gallons)</t>
  </si>
  <si>
    <t>Steam (million BTU)</t>
  </si>
  <si>
    <t>Waste (tons) - FY</t>
  </si>
  <si>
    <t>Commercial/ Industrial</t>
  </si>
  <si>
    <t>Natural Gas (therms)*</t>
  </si>
  <si>
    <t>*2008 Natural Gas has been adjusted, but with 2007 numberssince trigen steam has note reported yet</t>
  </si>
  <si>
    <t>Waste (tons)</t>
  </si>
  <si>
    <t xml:space="preserve">*Adjusted to account for Natural Gas Used by the Trigen Steam plant;'04 - 8.2M; '05-4.0M; '06-25.7M; '07-20.1M therms </t>
  </si>
  <si>
    <t>MAPC VMT (miles)</t>
  </si>
  <si>
    <t>Note: new # for '04 and '05, based on 2000 and 2006 baseline</t>
  </si>
  <si>
    <t>MBTA</t>
  </si>
  <si>
    <t>4,118,391 (total MBTA miles)</t>
  </si>
  <si>
    <t>Diesel (Gals)</t>
  </si>
  <si>
    <t>CNG (therm)</t>
  </si>
  <si>
    <t>Gasoline (gals)</t>
  </si>
  <si>
    <t>Water and Sewer</t>
  </si>
  <si>
    <t>MWRA</t>
  </si>
  <si>
    <t>CNG (therms)</t>
  </si>
  <si>
    <t>Notes:</t>
  </si>
  <si>
    <t>Electricity factors: 2004-2008 are base on ISO-NE reports on titled "Marginal Emission Analysis", and is based on their average emissions rate for all of New England</t>
  </si>
  <si>
    <t>For 1990 - Emission factor based on MA's gwsa_appendix from July 2009, which is sum of the six state emissions factors and includes imports.</t>
  </si>
  <si>
    <t>Official Populaiton Figures for Boston: 609,023</t>
  </si>
  <si>
    <t>As of Sept 2009</t>
  </si>
  <si>
    <t>Gasoline</t>
  </si>
  <si>
    <t>Diesel</t>
  </si>
  <si>
    <t>Electricity</t>
  </si>
  <si>
    <t>Natural Gas</t>
  </si>
  <si>
    <t>Fuel Oil</t>
  </si>
  <si>
    <t>Trigen Steam</t>
  </si>
  <si>
    <t>Waste</t>
  </si>
  <si>
    <t>VMTs</t>
  </si>
  <si>
    <t>CNG</t>
  </si>
  <si>
    <t>Boston's Community eCO2 Total</t>
  </si>
  <si>
    <t>% of Total</t>
  </si>
  <si>
    <t xml:space="preserve">Natural Gas </t>
  </si>
  <si>
    <t>Electricty</t>
  </si>
  <si>
    <t>Steam</t>
  </si>
  <si>
    <t>Comm/Ind</t>
  </si>
  <si>
    <t>In Short Tons of CO2 equivalent</t>
  </si>
  <si>
    <t>Per Capita (tons):</t>
  </si>
  <si>
    <t>Per Capita (Metric Tons):</t>
  </si>
  <si>
    <t>Population</t>
  </si>
  <si>
    <t>Updated: 10/22/09</t>
  </si>
  <si>
    <t>Status</t>
  </si>
  <si>
    <t>Proposed</t>
  </si>
  <si>
    <t>Approved</t>
  </si>
  <si>
    <t>X</t>
  </si>
  <si>
    <t>Jurisdiction</t>
  </si>
  <si>
    <t>Boston</t>
  </si>
  <si>
    <t>MA</t>
  </si>
  <si>
    <t>Federal</t>
  </si>
  <si>
    <t>RPS Target in 2010</t>
  </si>
  <si>
    <t>RPS Target in 2020</t>
  </si>
  <si>
    <t>Difference</t>
  </si>
  <si>
    <t>Assume in Base Line Ramp Up</t>
  </si>
  <si>
    <t>Incremental</t>
  </si>
  <si>
    <t>Electricity Savings From Baseline</t>
  </si>
  <si>
    <t>Electric Energy Efficiency</t>
  </si>
  <si>
    <t>New Savings Per Year</t>
  </si>
  <si>
    <t>Incremental Savings Per Year</t>
  </si>
  <si>
    <t>2020 Savings</t>
  </si>
  <si>
    <t>Assumptions:</t>
  </si>
  <si>
    <t>Assume 2.4% for 10 years, w/avg. 10 year measure life</t>
  </si>
  <si>
    <t>Natural Gas Efficiency</t>
  </si>
  <si>
    <t>Percent Electricity Savings</t>
  </si>
  <si>
    <t>Baseline 2008 Per Year</t>
  </si>
  <si>
    <t>Utility Energy Efficiency Programs (Electric))</t>
  </si>
  <si>
    <t>Utility Energy Efficiency Programs (Gas)</t>
  </si>
  <si>
    <t>VMT Reduction From Boston Bike Programs in 2020 (millions)</t>
  </si>
  <si>
    <t>Assumption: 2008 daily bike trips = 21,000; 1.55% mode split</t>
  </si>
  <si>
    <t>Bike Mode Split</t>
  </si>
  <si>
    <t>Daily bike trips</t>
  </si>
  <si>
    <t>Annual bike trips</t>
  </si>
  <si>
    <t>eliminated motor vehicle trips</t>
  </si>
  <si>
    <t>VMT</t>
  </si>
  <si>
    <t>Bike Sharing</t>
  </si>
  <si>
    <t>Personal Bikes from Bike Share</t>
  </si>
  <si>
    <t>Personal Bike from All Other Programs</t>
  </si>
  <si>
    <t>Total VMT Reduction in 2020</t>
  </si>
  <si>
    <t xml:space="preserve">2007 Boston VMT </t>
  </si>
  <si>
    <t xml:space="preserve">Percent VMT Reduction from Bike Programs </t>
  </si>
  <si>
    <t>Percent Total GHG Reduction From Bike Programs  2020</t>
  </si>
  <si>
    <t>This next section shows how to determine the percent of bike trips that replace motor vehicle trips.</t>
  </si>
  <si>
    <t>From HOW survey (What percent of your trips are made using each of the following methods? (Total must equal 100%)</t>
  </si>
  <si>
    <t>% driving alone</t>
  </si>
  <si>
    <t>% carpool (non-family)</t>
  </si>
  <si>
    <t>% bicycle</t>
  </si>
  <si>
    <t>% public transportation</t>
  </si>
  <si>
    <t>% walking</t>
  </si>
  <si>
    <t>% other</t>
  </si>
  <si>
    <t>1) Bike sharing will reduce mid-range from other cities 1.7 to 7/year</t>
  </si>
  <si>
    <t>2) Will be a 1 time bump in personal bike use from bike share of 2 (which equals 50% of current biking)</t>
  </si>
  <si>
    <t>Total driving = 42%</t>
  </si>
  <si>
    <t>42% of trips by "bikers" are by car</t>
  </si>
  <si>
    <t>3) Personal bikes from all other programs (10 miles/year, infrastructure, etc.) equals 25% increase/year from current base for 10 years equal 1 million VMT/year, 10% cumulative</t>
  </si>
  <si>
    <t xml:space="preserve">How much would bikers drive if they did not bike? </t>
  </si>
  <si>
    <t>4) 2007 Boston VMT assumed baseline to 2020…</t>
  </si>
  <si>
    <t>5) VMT from personsal vehicles account for 19% of GHG emissions in 2007 (and held constant 2020)</t>
  </si>
  <si>
    <t>total driving = 57%</t>
  </si>
  <si>
    <t>when bikers can't bike, 57% of trips would be by car</t>
  </si>
  <si>
    <t>Therefore cycling reduced driving by 15 percentage points. OR 15% of all bike trips replace car trips</t>
  </si>
  <si>
    <t xml:space="preserve">VMT Reduction From Car Share Programs in 2020 </t>
  </si>
  <si>
    <t>Current Shared Cars in Boston</t>
  </si>
  <si>
    <t>Annual VMT Reduction/Year</t>
  </si>
  <si>
    <t>Assume on 60% of VMT Reduction in Boston</t>
  </si>
  <si>
    <t>Total Current VMT Reduction/Year (millions)</t>
  </si>
  <si>
    <t>Incremental Car Sharing VMT Reduction in 2020</t>
  </si>
  <si>
    <t>Percent VMT Reduction from Car Sharing</t>
  </si>
  <si>
    <t>Percent Total GHG Reduction From Car Sharing 2020</t>
  </si>
  <si>
    <t>1) Zip Car current Boston membership 18,000, Zip Car estimates VMT reduction per membership at 2,500</t>
  </si>
  <si>
    <t>2) Assume four times as many shared cars in 2020 with 72,000 members (54,,000 incremental)--Zip Car estimated tripling its membership and assume other share companies enter market</t>
  </si>
  <si>
    <t>Bike Programs</t>
  </si>
  <si>
    <t>Car Sharing Programs</t>
  </si>
  <si>
    <t>Year</t>
  </si>
  <si>
    <t>Percent reduction in Massachusetts</t>
  </si>
  <si>
    <t>Fuel</t>
  </si>
  <si>
    <t xml:space="preserve">Electricity </t>
  </si>
  <si>
    <t>MA DEP 2008 Numbers for Boston</t>
  </si>
  <si>
    <t>Generated (tons)</t>
  </si>
  <si>
    <t>Disposed (tons)</t>
  </si>
  <si>
    <t>Recycled (tons)</t>
  </si>
  <si>
    <t>Composted (tons)</t>
  </si>
  <si>
    <t>Hazardous (tons)</t>
  </si>
  <si>
    <t>Diverted (tons)</t>
  </si>
  <si>
    <t>Recycling rate</t>
  </si>
  <si>
    <t>PAYT Impact</t>
  </si>
  <si>
    <t>Combined Residential GHG reduction</t>
  </si>
  <si>
    <t xml:space="preserve">Incremental </t>
  </si>
  <si>
    <t>PAYT</t>
  </si>
  <si>
    <t>Curbside</t>
  </si>
  <si>
    <t>New disposal (tons)</t>
  </si>
  <si>
    <t xml:space="preserve">Total </t>
  </si>
  <si>
    <t xml:space="preserve">incremental GHG reduction </t>
  </si>
  <si>
    <t>Disposal reduction</t>
  </si>
  <si>
    <t>GHG reduction</t>
  </si>
  <si>
    <r>
      <t>Boston 2008 Residential GHG emissions (short tons eCO</t>
    </r>
    <r>
      <rPr>
        <vertAlign val="subscript"/>
        <sz val="10"/>
        <rFont val="Arial"/>
        <family val="2"/>
      </rPr>
      <t>2</t>
    </r>
    <r>
      <rPr>
        <sz val="10"/>
        <rFont val="Arial"/>
        <family val="2"/>
      </rPr>
      <t>)</t>
    </r>
  </si>
  <si>
    <t>Total Boston 2008 GHG emissions</t>
  </si>
  <si>
    <t>Curbside Organics</t>
  </si>
  <si>
    <t>Percent of Boston emission from residential waste</t>
  </si>
  <si>
    <t>Food waste (tons)</t>
  </si>
  <si>
    <t>Captured (tons)</t>
  </si>
  <si>
    <t xml:space="preserve">Incremental percent reduction in total Boston GHG </t>
  </si>
  <si>
    <t>Incremental diversion</t>
  </si>
  <si>
    <t>Boston recycling goal</t>
  </si>
  <si>
    <t>Combined programs (existing, PAYT, Curbside)</t>
  </si>
  <si>
    <t>Incremental to 50%</t>
  </si>
  <si>
    <t>Incremental percent reduction in total Boston GHG assuming 50% recycling rate</t>
  </si>
  <si>
    <t>Assumptions</t>
  </si>
  <si>
    <t>Mandatory curbside collection of separated food waste will capture 2/3 of what is generated</t>
  </si>
  <si>
    <t>All Boston waste-related GHG emissions are assumed to come from waste combustion, relative to the amount of waste disposed (i.e. tons of waste disposed multiplied by an emissions factor for combustion)</t>
  </si>
  <si>
    <t>No assumptions made about associated source reduction, which is likely and will further reduce disposal and thereby reduce residential waste GHG emission</t>
  </si>
  <si>
    <t>These calculations do not account for the impact of the full single stream recycling impact on Boston residential recycling rate</t>
  </si>
  <si>
    <t xml:space="preserve">Boston Commercial Waste GHG Mitigation </t>
  </si>
  <si>
    <t>Res Waste</t>
  </si>
  <si>
    <t>Comm waste</t>
  </si>
  <si>
    <t>Commercial Solid Waste Reduction</t>
  </si>
  <si>
    <t>Assume 70% diversion goal for commercial waste (i.e. 70% recycling rate)</t>
  </si>
  <si>
    <t>2007 Commercial generation (tons)</t>
  </si>
  <si>
    <t>2007 Commercial recycling (tons)</t>
  </si>
  <si>
    <t>2007 Commercial composting (tons)</t>
  </si>
  <si>
    <t>2007 Total commercial diversion (recycling + composting)</t>
  </si>
  <si>
    <t xml:space="preserve">2007 tonnages from MA DEP </t>
  </si>
  <si>
    <t>2007 Commercial recycling rate (Massachusetts)</t>
  </si>
  <si>
    <t xml:space="preserve">Assume Boston commercial recycling rate equal to state average </t>
  </si>
  <si>
    <t>Difference between 2007 rate and 70% goal (i.e. incremental)</t>
  </si>
  <si>
    <t>Assume program/policy implementation that will achieve commercial diversion goal of 70%</t>
  </si>
  <si>
    <t xml:space="preserve">MA Solid Waste Master Plan, 2006 revision: http://www.mass.gov/dep/recycle/priorities/swmprev.pdf </t>
  </si>
  <si>
    <t>MA 2007 Solid Waste Data Update: http://www.mass.gov/dep/recycle/priorities/07swdata.doc</t>
  </si>
  <si>
    <t>13% of residential waste is food waste (EPA)</t>
  </si>
  <si>
    <t xml:space="preserve">MA DEP PAYT Basics for Municipalities:http://www.mass.gov/dep/recycle/reduce/paytmuni.htm </t>
  </si>
  <si>
    <t>MA DEP 2008 Municipal Tonnage &amp; Recycling Rate Summary: http://www.mass.gov/dep/recycle/priorities/08rates.pdf</t>
  </si>
  <si>
    <t xml:space="preserve">Massachusetts Joint Statewide Three-Year Electric Efficiency Plan: http://www.ma-eeac.org/DPU.htm </t>
  </si>
  <si>
    <t>Massachusetts Joint Statewide Three-Year Gas Efficiency Plan: http://www.ma-eeac.org/DPU.htm</t>
  </si>
  <si>
    <t xml:space="preserve">Statewide Savings Targets and Performance Incentives for Gas Program Administrators - Approved 10-13-09: http://www.ma-eeac.org/docs/091013-KeyIssuesGas.pdf </t>
  </si>
  <si>
    <t xml:space="preserve">Statewide Savings Targets and Performance Incentives for Electric Program Administrators - Approved 10-6-09: http://www.ma-eeac.org/docs/091006-KeyIssuesOfferDOER-AG-EEAC-Approved.pdf </t>
  </si>
  <si>
    <t xml:space="preserve">Appliance Standards Awareness Project -- Ka-BOOM! The Power of Appliance Standards: http://www.standardsasap.org/documents/A091.pdf </t>
  </si>
  <si>
    <t xml:space="preserve">Appliance Standards Awareness Project -- State-Level Benefits from Federal Standards -- Massachusetts: http://www.standardsasap.org/state/2009%20federal%20analysis/states/fedappl_ma.pdf </t>
  </si>
  <si>
    <t>All GHG reduction potential from existing standards is included in the baseline</t>
  </si>
  <si>
    <t>No overlap between appliance standards and utility efficiency programs</t>
  </si>
  <si>
    <t>In reality, some GHG reduction from existing standards will not be in the baseline (i.e. will be incremental) and some new standards will overlap with utility programs, so we assume these cancel out and 2.3% reduction will be incremental</t>
  </si>
  <si>
    <t>References</t>
  </si>
  <si>
    <t>Some amount of the Green Communities Act bump from 0.5% per year to 1% per year is included in the baseline</t>
  </si>
  <si>
    <t>References:</t>
  </si>
  <si>
    <t>RPS Regulation as published and effective on October 19, 2007: http://www.mass.gov/Eoeea/docs/doer/rps/225cmr.pdf</t>
  </si>
  <si>
    <t xml:space="preserve">Emergency Regulations and Rulemaking for RPS Class I, RPS Class II, and APS: http://www.mass.gov/?pageID=eoeeaterminal&amp;L=5&amp;L0=Home&amp;L1=Energy%2c+Utilities+%26+Clean+Technologies&amp;L2=Renewable+Energy&amp;L3=Renewable+Portfolio+Standard&amp;L4=Green+Communities&amp;sid=Eoeea&amp;b=terminalcontent&amp;f=doer_rps_emergency-regs&amp;csid=Eoeea  </t>
  </si>
  <si>
    <t>NESCAUM, Northeast State GHG Emission Reduction Potential from Adoption of the California Motor Vehicle GHG Standards Summary of NESCAUM Analysis, October, 2005</t>
  </si>
  <si>
    <t xml:space="preserve">References: </t>
  </si>
  <si>
    <t>NESCAUM number includes a rebound, i.e. consideration that people will tend to drive more if cars are more efficient</t>
  </si>
  <si>
    <t>Percent Natural Gas Savings</t>
  </si>
  <si>
    <t>Existing NG efficiency is approximately 1/3 of 2012 target</t>
  </si>
  <si>
    <t>Assume 1.2% for 10 years, w/ avg 10 year measure life</t>
  </si>
  <si>
    <t>PAYT provides a 25% increase in the recycling rate (MA DEP)</t>
  </si>
  <si>
    <t>Baseline EE 2008 Per Year</t>
  </si>
  <si>
    <t>Baseline CHP 2008 Per Year</t>
  </si>
  <si>
    <t>Baseline assumptions from DOER and DOER's consultant Jeff Schlegel</t>
  </si>
  <si>
    <t>Oil Efficiency</t>
  </si>
  <si>
    <t>Oil ramps up to same percentage savings/year natural gas acheives in 2012 by 2015</t>
  </si>
  <si>
    <t>New Savings Per Year by 2015</t>
  </si>
  <si>
    <t>Incremental Savings 2010 to 2015</t>
  </si>
  <si>
    <t>Incremental Svaings 2016 to 2020</t>
  </si>
  <si>
    <t>However, baseline for oil is assumed to be only 1/4 for oil compared to gas</t>
  </si>
  <si>
    <t>Discussing 10% life-cycle reduction in carbon intensity.</t>
  </si>
  <si>
    <t>The Federal Renewable Fuel Standard would be part of the 10% (approximately 3% of the 10%)</t>
  </si>
  <si>
    <t>Reference:</t>
  </si>
  <si>
    <t>NESCCAF/NESCAUM, Introducing a Low Carbon Fuel Standards in the Northeast, July 2009</t>
  </si>
  <si>
    <t>GHG Conversion</t>
  </si>
  <si>
    <t>CO2 #/MWh:</t>
  </si>
  <si>
    <t>Gross</t>
  </si>
  <si>
    <t>CO2 tons/GWh:</t>
  </si>
  <si>
    <t>City-Wide Base (All Sectors)</t>
  </si>
  <si>
    <t>C/I</t>
  </si>
  <si>
    <t>Conversion</t>
  </si>
  <si>
    <t>Tons CO2e</t>
  </si>
  <si>
    <t>Short Tons of CO2 equivalent/therm gas consumed/saved</t>
  </si>
  <si>
    <t>Electricity GWh</t>
  </si>
  <si>
    <t>Natural Gas therms</t>
  </si>
  <si>
    <t>Note: C/I electric includes streetlights; C/I gas does not include MWRA or MBTA</t>
  </si>
  <si>
    <t>kBTU/SF</t>
  </si>
  <si>
    <t>Electricity kWh</t>
  </si>
  <si>
    <t>EUI (kBTU/SF)</t>
  </si>
  <si>
    <t>Anti-Idling</t>
  </si>
  <si>
    <t>GHG Savings Charts</t>
  </si>
  <si>
    <t>GHG Savings by Primary Program Area</t>
  </si>
  <si>
    <t>Transporation</t>
  </si>
  <si>
    <t>GHG Savings by Individual Programs</t>
  </si>
  <si>
    <t>Car Sharing</t>
  </si>
  <si>
    <t>Other Programs--Mass Transit/Parking</t>
  </si>
  <si>
    <t>Remaining Emissions</t>
  </si>
  <si>
    <t>GHG Savings by Program Status</t>
  </si>
  <si>
    <t>GHG Savings by Program Jurisdiction</t>
  </si>
  <si>
    <t>State</t>
  </si>
  <si>
    <t>CAFÉ/PAVLEY assume 75% Federal/ 25% state</t>
  </si>
  <si>
    <t>Cool Roofing Savings</t>
  </si>
  <si>
    <t>Commercial</t>
  </si>
  <si>
    <t>Offset Emissions in 10 Years</t>
  </si>
  <si>
    <t>(Short ton CO2)</t>
  </si>
  <si>
    <t>Existing Residential</t>
  </si>
  <si>
    <t>New Residential</t>
  </si>
  <si>
    <t>Cool Roofing Area</t>
  </si>
  <si>
    <t>(Sq. Ft.)</t>
  </si>
  <si>
    <t>Existing Residential</t>
  </si>
  <si>
    <t>New Residential</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</si>
  <si>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</si>
  <si>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</si>
  <si>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residential total rooftop area and growth of new residential is an aggregate calculation for 1-family housing, 2-family housing, 3-family housing, condominums, and apartment unit complexes.</t>
  </si>
  <si>
    <t>4.  Assumed that residential property grows at a rate of 0.5% annually</t>
  </si>
  <si>
    <t>Mitigation Policy</t>
  </si>
  <si>
    <t>Term (Years)</t>
  </si>
  <si>
    <t>One-time Emission Offset (Short ton CO2/Sq. Ft.)</t>
  </si>
  <si>
    <t>Boston Residential</t>
  </si>
  <si>
    <t>Total Rooftop Area (Sq. Ft.)</t>
  </si>
  <si>
    <t>Roofing Replacement (Years)</t>
  </si>
  <si>
    <t>New Residential, Y/Y Growth Rate</t>
  </si>
  <si>
    <t>Average Rooftop Area</t>
  </si>
  <si>
    <t>Land Use</t>
  </si>
  <si>
    <t>Land Use Code</t>
  </si>
  <si>
    <t>Roofprint Sq Ft</t>
  </si>
  <si>
    <t>Avg Roofprint Sq Ft</t>
  </si>
  <si>
    <t>R1, R2, R3, R4, A, CM</t>
  </si>
  <si>
    <t>C, CL</t>
  </si>
  <si>
    <t>Mixed Use</t>
  </si>
  <si>
    <t>RC</t>
  </si>
  <si>
    <t>Institutional</t>
  </si>
  <si>
    <t>E, XG</t>
  </si>
  <si>
    <t>Industrial</t>
  </si>
  <si>
    <t>I</t>
  </si>
  <si>
    <t>Other/Unclassified</t>
  </si>
  <si>
    <t>RL, AH, Empty</t>
  </si>
  <si>
    <t>Offset Emissions in 10 Years</t>
  </si>
  <si>
    <t>(Short ton CO2)</t>
  </si>
  <si>
    <t>Existing C/I</t>
  </si>
  <si>
    <t>New C/I</t>
  </si>
  <si>
    <t>Cool Roofing Area</t>
  </si>
  <si>
    <t>(Sq. Ft.)</t>
  </si>
  <si>
    <t>ExistingC/I</t>
  </si>
  <si>
    <t>New C/I</t>
  </si>
  <si>
    <t>1. The effective rate is implemented as uniformly distirbuted over the roofing life cycle (roofing replacement value).</t>
  </si>
  <si>
    <t>2.  For cool roof savings, while the roof must be kept cool to retain this benefit, the offsets are based on aged rather than initial values of solar reflectance.</t>
  </si>
  <si>
    <t>3.  Boston C/I total rooftop area and growth of new C/I is an aggregate calculation for commercial, mixed use, institutional, industrial, and also the unclassified.</t>
  </si>
  <si>
    <t>4.  Assume that commercial, industrial, institutional, etc. properties grow at a rate of 0.5% annually</t>
  </si>
  <si>
    <t>Mitigation Policy</t>
  </si>
  <si>
    <t>Term (Years)</t>
  </si>
  <si>
    <t>One-time Emission Offset (Short ton CO2/Sq. Ft.)</t>
  </si>
  <si>
    <t>Boston C/I</t>
  </si>
  <si>
    <t>Total Rooftop Area (Sq. Ft.)</t>
  </si>
  <si>
    <t>Roofing Replacement (Years)</t>
  </si>
  <si>
    <t>New C/I, Year-over-Year Growth Rate</t>
  </si>
  <si>
    <t>Average Rooftop Area</t>
  </si>
  <si>
    <t>Avg Roofprint Sq Ft</t>
  </si>
  <si>
    <t>Offset Emissions in 10 Years</t>
  </si>
  <si>
    <t>(Short ton CO2)</t>
  </si>
  <si>
    <t>Existing C/I</t>
  </si>
  <si>
    <t>New C/I</t>
  </si>
  <si>
    <t>Cool Roofing Area</t>
  </si>
  <si>
    <t>(Sq. Ft.)</t>
  </si>
  <si>
    <t>ExistingC/I</t>
  </si>
  <si>
    <t>New C/I</t>
  </si>
  <si>
    <t>Low-Carbon Fuel Standard/Renewable Fuel Standard (gasoline)</t>
  </si>
  <si>
    <t xml:space="preserve">LCFS/RFS (diesel) </t>
  </si>
  <si>
    <t>LCFS/RFS diesel</t>
  </si>
  <si>
    <t>Vehicle Size</t>
  </si>
  <si>
    <r>
      <t>CO</t>
    </r>
    <r>
      <rPr>
        <b/>
        <vertAlign val="subscript"/>
        <sz val="9"/>
        <rFont val="Georgia"/>
        <family val="1"/>
      </rPr>
      <t>2</t>
    </r>
    <r>
      <rPr>
        <b/>
        <sz val="9"/>
        <rFont val="Georgia"/>
        <family val="1"/>
      </rPr>
      <t xml:space="preserve"> emitted per minute of idling time</t>
    </r>
  </si>
  <si>
    <t>Small compact car</t>
  </si>
  <si>
    <t>.05 kg or 50 grams per minute</t>
  </si>
  <si>
    <t>Mid-size car</t>
  </si>
  <si>
    <t>.07 kg or 72 grams per minute</t>
  </si>
  <si>
    <t>Large car</t>
  </si>
  <si>
    <t>.08 kg or 82 grams per minute</t>
  </si>
  <si>
    <t>Small truck</t>
  </si>
  <si>
    <t>.09 kg or 90 grams per minute</t>
  </si>
  <si>
    <t>Large truck</t>
  </si>
  <si>
    <t>.12 kg or 120 grams per minute</t>
  </si>
  <si>
    <t>SUV</t>
  </si>
  <si>
    <t>.13 kg or 130 grams per minute</t>
  </si>
  <si>
    <t xml:space="preserve">Climate Change North, Teacher Handout: http://www.climatechangenorth.ca/section-LP/LP_16_HI_S_idling_SH.html </t>
  </si>
  <si>
    <t>Anti-idling</t>
  </si>
  <si>
    <t>10% of Boston Cars</t>
  </si>
  <si>
    <t>Enforcement of the anti-idling rule would decrease idling to 5 minutes per day (reduction of 50%)</t>
  </si>
  <si>
    <t>1 kilogram = 0.00110231131 short tons</t>
  </si>
  <si>
    <t>Short tons per minute</t>
  </si>
  <si>
    <t xml:space="preserve">Short ton conversion </t>
  </si>
  <si>
    <t>Average tons emitted per year from idling 5 minutes per day</t>
  </si>
  <si>
    <t>Boston has 300,000 cars (MA DEP)</t>
  </si>
  <si>
    <t>Of these, 10% idle 10 minutes per day (MA DEP)</t>
  </si>
  <si>
    <t>average</t>
  </si>
  <si>
    <t>GHG Savings by Fuel Type</t>
  </si>
  <si>
    <t>Natrual Gas</t>
  </si>
  <si>
    <t xml:space="preserve">Diesel </t>
  </si>
  <si>
    <t>proportion of residences sold every year</t>
  </si>
  <si>
    <t>proportion of sellers/buyers who will act as a result of labeling info</t>
  </si>
  <si>
    <t>proportion of sellers/buyers who will need to act as a result of ordinance</t>
  </si>
  <si>
    <t>reduction in electricity use as a result of efficiency retrofits</t>
  </si>
  <si>
    <t>reduction in electricity use as a result of required efficiency retrofits</t>
  </si>
  <si>
    <t>years - length of time labeling requirement in effect, assuming 2015 start</t>
  </si>
  <si>
    <t>res. electricity share of total GHG inventory</t>
  </si>
  <si>
    <t>reduction in annual GHG emissions</t>
  </si>
  <si>
    <t>reduction in NG use as a result of efficiency retrofits</t>
  </si>
  <si>
    <t>res. NG share of total GHG inventory</t>
  </si>
  <si>
    <t>C/I electricity</t>
  </si>
  <si>
    <t>proportion of C/I sold every year</t>
  </si>
  <si>
    <t>proportion of C/I who will need to act as a result of ordinance</t>
  </si>
  <si>
    <t>years - length of time labeling requirement in effect, assuming 2010 start</t>
  </si>
  <si>
    <t>C/I electricity share of total GHG inventory</t>
  </si>
  <si>
    <t>C/I NG</t>
  </si>
  <si>
    <t>C/I NG share of total GHG inventory</t>
  </si>
  <si>
    <t>total annual GHG reduction from labeling requirement</t>
  </si>
  <si>
    <t>Elec.</t>
  </si>
  <si>
    <t>NG</t>
  </si>
  <si>
    <t>Res</t>
  </si>
  <si>
    <t>LCFS ASSUME 60% federal, 40% state for transportation, and 100% state for heating</t>
  </si>
  <si>
    <t>RGGI*</t>
  </si>
  <si>
    <t>Note: *Assuming that since reducing electricity by more than RGGI requirements, RGGI satisfied and not included separately.</t>
  </si>
  <si>
    <t>proportion of residential square footage sold every year</t>
  </si>
  <si>
    <t xml:space="preserve">proportion of C/I who will act annually as a result of labeling info </t>
  </si>
  <si>
    <t>reduction in NG and oil use as a result of efficiency retrofits</t>
  </si>
  <si>
    <t>reduction in annual GHG emissions in 2020</t>
  </si>
  <si>
    <t>Assume 1% of new roofs are green…</t>
  </si>
  <si>
    <t>Cars in Boston (residents and commuters)</t>
  </si>
  <si>
    <t>Inlcuding commuters doubles this to 600,000</t>
  </si>
  <si>
    <t>Not all of the cars will be used every day, so assume no use on weekends and use 261 as annual number of days when 10% idle 10 minutes</t>
  </si>
  <si>
    <t>kg/m2 CO2 reduced annually for commercial roofs</t>
  </si>
  <si>
    <t>square meters</t>
  </si>
  <si>
    <t>new per year</t>
  </si>
  <si>
    <t>Sq. Meters</t>
  </si>
  <si>
    <t>CO2 reduction per year</t>
  </si>
  <si>
    <t>kg</t>
  </si>
  <si>
    <t>short tons</t>
  </si>
  <si>
    <t xml:space="preserve">Green roof bump over C/I cool roof </t>
  </si>
  <si>
    <t>Boston total emissions in 2020</t>
  </si>
  <si>
    <t xml:space="preserve">State-level benefits from Potential Federal Appliance Standards -- Massachusetts </t>
  </si>
  <si>
    <t>MA GHG in 2020 will be 100 million metric tons (MA DEP/DOER)</t>
  </si>
  <si>
    <t>short tons per year</t>
  </si>
  <si>
    <t>total Boston 2020 emissions</t>
  </si>
  <si>
    <t>From Ka-BOOM report: "In all, as required by a combination of court orders, Congressional deadlines, and the President's memorandum, over the next four years DOE is scheduled to complete new standards for twenty-six products."</t>
  </si>
  <si>
    <t>Percent reduction in MA in 2020 (i.e. statewide)</t>
  </si>
  <si>
    <t>VMT 2007 Boston</t>
  </si>
  <si>
    <t>10% Reduction in 2020</t>
  </si>
  <si>
    <t>Other VMT Reduction Programs</t>
  </si>
  <si>
    <t>It is the judgment of City transportation planners that the combination of VMT measures can lead to ten percent difference by 2020.</t>
  </si>
  <si>
    <t>Other VMT Reduction Programs include parking freeze, parking meters, residential parking permits, increased mass transit, TOD, Smart Growth</t>
  </si>
  <si>
    <t>VMT (millions)</t>
  </si>
  <si>
    <t>% VMT Reduc</t>
  </si>
  <si>
    <t>% GHG Reduction</t>
  </si>
  <si>
    <t>Assume all savings are gasoline, not diesel</t>
  </si>
  <si>
    <t>percent reduction per year</t>
  </si>
  <si>
    <t>Percent reduction in 2020</t>
  </si>
  <si>
    <t>Commercial Cool Roof 2020 GHG Reduction</t>
  </si>
  <si>
    <t>Green Roof Incremental GHG Reduction</t>
  </si>
  <si>
    <t>Percent emissions reduction per year</t>
  </si>
  <si>
    <t>Roofing program GHG percent reduction in 2020</t>
  </si>
  <si>
    <t>Education and enforcement will leed to a reduction in 25% of the annual emissions</t>
  </si>
  <si>
    <t xml:space="preserve">Tons reduced in 2020 </t>
  </si>
  <si>
    <t>GHG Reduction Summary Table</t>
  </si>
  <si>
    <t>Total CO2 reduced in 2020 in MA (from table, metric tons)</t>
  </si>
  <si>
    <t>Total MA 2020 emissions (from MA DOER, metric tons)</t>
  </si>
  <si>
    <t>New Construction: Both C/I and Res</t>
  </si>
  <si>
    <t>BTU/kWh or BTU/Therm</t>
  </si>
  <si>
    <t>Annual New Construction Sq Ft</t>
  </si>
  <si>
    <t>Total kBTU/yr for New Construction</t>
  </si>
  <si>
    <t>Total Savings/Yr in GWh and therms</t>
  </si>
  <si>
    <t>% Savings</t>
  </si>
  <si>
    <r>
      <t xml:space="preserve">Energy Use/ Sq Ft, </t>
    </r>
    <r>
      <rPr>
        <b/>
        <u val="single"/>
        <sz val="11"/>
        <color indexed="8"/>
        <rFont val="Calibri"/>
        <family val="2"/>
      </rPr>
      <t>Current Code</t>
    </r>
    <r>
      <rPr>
        <b/>
        <sz val="11"/>
        <color indexed="8"/>
        <rFont val="Calibri"/>
        <family val="2"/>
      </rPr>
      <t xml:space="preserve"> </t>
    </r>
  </si>
  <si>
    <r>
      <t xml:space="preserve">Energy Use/ Sq Ft, </t>
    </r>
    <r>
      <rPr>
        <b/>
        <u val="single"/>
        <sz val="11"/>
        <color indexed="8"/>
        <rFont val="Calibri"/>
        <family val="2"/>
      </rPr>
      <t>New Code</t>
    </r>
  </si>
  <si>
    <t>Utility Energy Efficiency Programs (Electric)</t>
  </si>
  <si>
    <t>Comm</t>
  </si>
  <si>
    <t>GHG Savings by Sector</t>
  </si>
  <si>
    <t>Transportation **</t>
  </si>
  <si>
    <t xml:space="preserve">Note: ** For transporation measures that impact both residential and commercial sectors, we assume a 95/5 split b/t residential and commercial and include commuters in the residential sector </t>
  </si>
  <si>
    <r>
      <t>Source:</t>
    </r>
    <r>
      <rPr>
        <sz val="10"/>
        <rFont val="Arial"/>
        <family val="2"/>
      </rPr>
      <t xml:space="preserve"> </t>
    </r>
  </si>
  <si>
    <t>T. Dietz et al. "Household actions can provide a behavioural wedge to rapidly reduct U.S. carbon emissions," PNAS, 18452-18456, November 3, 2009, www.pnas.org/cgi/doi/10.1073/pnas.0908738106</t>
  </si>
  <si>
    <t>from Table  1. Achievable carbon emissions from household actions</t>
  </si>
  <si>
    <t>Behavior change</t>
  </si>
  <si>
    <t>% reduction in res GHGs</t>
  </si>
  <si>
    <t>Comment</t>
  </si>
  <si>
    <t>Weatherization</t>
  </si>
  <si>
    <t>already in efficiency programs</t>
  </si>
  <si>
    <t>HVAC equipment</t>
  </si>
  <si>
    <t>Low-flow showerheads</t>
  </si>
  <si>
    <t>Efficient water heater</t>
  </si>
  <si>
    <t>Appliances</t>
  </si>
  <si>
    <t>Low rolling resistance tires</t>
  </si>
  <si>
    <t>Fuel-efficient vehicle</t>
  </si>
  <si>
    <t>already in transportation programs</t>
  </si>
  <si>
    <t>Change HVAC air filters</t>
  </si>
  <si>
    <t>Tune up AC</t>
  </si>
  <si>
    <t>subtract 50% on the assumption that, for some residences, this would come under the efficiency programs</t>
  </si>
  <si>
    <t>Routine auto maintenance</t>
  </si>
  <si>
    <t>Laundry temperature</t>
  </si>
  <si>
    <t>Water heater temperature</t>
  </si>
  <si>
    <t>Standby electricity</t>
  </si>
  <si>
    <t>Thermostat setbacks</t>
  </si>
  <si>
    <t>Line drying</t>
  </si>
  <si>
    <t>Driving behavior</t>
  </si>
  <si>
    <t>Carpooling and trip-chaining</t>
  </si>
  <si>
    <t>already in VMT reduction assumptions</t>
  </si>
  <si>
    <t>percentage reduction in total residential GHGs</t>
  </si>
  <si>
    <t>Behavior Change</t>
  </si>
  <si>
    <t>Sum of buildings behavior change not in other programs</t>
  </si>
  <si>
    <t xml:space="preserve">Sum of driving behavior change not in other programs </t>
  </si>
  <si>
    <t>Behavior Change (buildings)</t>
  </si>
  <si>
    <t xml:space="preserve">Behavior Change (transportation) </t>
  </si>
  <si>
    <t>Total Boston GHG reduction from behavior change</t>
  </si>
  <si>
    <t>Defined as Residential Buildings Plus Gasoline</t>
  </si>
  <si>
    <t>Boston Residential Bldgs plus Gasoline</t>
  </si>
  <si>
    <t>Boston Behavior Bldg Savings</t>
  </si>
  <si>
    <t>Boston Behvior Personsal Vehicle</t>
  </si>
  <si>
    <r>
      <t xml:space="preserve">Getter, et. al., </t>
    </r>
    <r>
      <rPr>
        <i/>
        <sz val="10"/>
        <rFont val="Arial"/>
        <family val="2"/>
      </rPr>
      <t>Carbon Sequestration Potential of Extensive Green Roofs</t>
    </r>
    <r>
      <rPr>
        <sz val="10"/>
        <rFont val="Arial"/>
        <family val="2"/>
      </rPr>
      <t>. Environmental Science and Technology 43 (19) 2009: http://pubs.acs.org/doi/pdf/10.1021/es901539x</t>
    </r>
  </si>
  <si>
    <r>
      <t xml:space="preserve">Emission factor for kg/m2 is from -- Levinson and Akbari, </t>
    </r>
    <r>
      <rPr>
        <i/>
        <sz val="10"/>
        <rFont val="Arial"/>
        <family val="2"/>
      </rPr>
      <t xml:space="preserve">Potential Benefits from Cool Roofs on Commercial Buildings. </t>
    </r>
    <r>
      <rPr>
        <sz val="10"/>
        <rFont val="Arial"/>
        <family val="2"/>
      </rPr>
      <t>Energy Efficiency (2010) 3</t>
    </r>
    <r>
      <rPr>
        <sz val="10"/>
        <rFont val="Arial"/>
        <family val="2"/>
      </rPr>
      <t>: http://www.springerlink.com/content/9r48k34558240825/fulltext.pdf</t>
    </r>
  </si>
  <si>
    <t>Commercial/Industrial</t>
  </si>
  <si>
    <t xml:space="preserve">Cumulative Tons </t>
  </si>
  <si>
    <t>Reduced Through 2020</t>
  </si>
  <si>
    <t>Savings</t>
  </si>
  <si>
    <t>$/ton</t>
  </si>
  <si>
    <t>Total Savings</t>
  </si>
  <si>
    <t>($ million)</t>
  </si>
  <si>
    <t>RPS</t>
  </si>
  <si>
    <t>SBC</t>
  </si>
  <si>
    <t>Compact Appliances</t>
  </si>
  <si>
    <t>Pavley</t>
  </si>
  <si>
    <t>2x Pavley</t>
  </si>
  <si>
    <t>Solid Waste</t>
  </si>
  <si>
    <t>TOD</t>
  </si>
  <si>
    <t>LEV</t>
  </si>
  <si>
    <t>VMT Insurance</t>
  </si>
  <si>
    <t>Local Gov Vehicle Fuel Efficiency</t>
  </si>
  <si>
    <t>State feebate</t>
  </si>
  <si>
    <t>Energy Efficiency Standards Leg</t>
  </si>
  <si>
    <t>Efficiency Heating Initiative</t>
  </si>
  <si>
    <t>Fossil Energy Efficiency</t>
  </si>
  <si>
    <t>Upgrade Building Code</t>
  </si>
  <si>
    <t>Building Shell Retrofit</t>
  </si>
  <si>
    <t>Tax Credits Energy Efficiency</t>
  </si>
  <si>
    <t>LCP</t>
  </si>
  <si>
    <t>CHP</t>
  </si>
  <si>
    <t>RGGI</t>
  </si>
  <si>
    <t>Forestry and Land Use</t>
  </si>
  <si>
    <t>Rhode Island Program Numbers</t>
  </si>
  <si>
    <t>Cost ($/short ton)</t>
  </si>
  <si>
    <t>Years</t>
  </si>
  <si>
    <t>Total Boston Sq Ft.</t>
  </si>
  <si>
    <t>kWh or therms/SF</t>
  </si>
  <si>
    <t>Renovation</t>
  </si>
  <si>
    <t>State 3-year plan for Electric</t>
  </si>
  <si>
    <t>$/short ton</t>
  </si>
  <si>
    <t>State 3-year plan for Gas</t>
  </si>
  <si>
    <t>Building Shell retrofit</t>
  </si>
  <si>
    <t>Commercial/Industrial/ Institutional/Government</t>
  </si>
  <si>
    <t>Solid Waste/ Recycling</t>
  </si>
  <si>
    <t>Fuel Type</t>
  </si>
  <si>
    <t>Percentage of Total Emissions</t>
  </si>
  <si>
    <t>2008 Boston GHG Emissions</t>
  </si>
  <si>
    <t>Solid Waste/Recycling</t>
  </si>
  <si>
    <t>Program</t>
  </si>
  <si>
    <t>assumption</t>
  </si>
  <si>
    <t>Source state</t>
  </si>
  <si>
    <t>RI</t>
  </si>
  <si>
    <t>x</t>
  </si>
  <si>
    <t>Net benefits 2010-2012 ($ millions)</t>
  </si>
  <si>
    <t>MA EE Utility programs</t>
  </si>
  <si>
    <t>Additional Source</t>
  </si>
  <si>
    <t>kBTU/SF savings/yr</t>
  </si>
  <si>
    <t xml:space="preserve">GHG savings lifetime (million tons) </t>
  </si>
  <si>
    <t>MA SBC b/t elec. &amp; gas</t>
  </si>
  <si>
    <r>
      <t xml:space="preserve">RI GHG Process -- </t>
    </r>
    <r>
      <rPr>
        <i/>
        <sz val="10"/>
        <rFont val="Arial"/>
        <family val="2"/>
      </rPr>
      <t>Summary Charts v8</t>
    </r>
    <r>
      <rPr>
        <sz val="10"/>
        <rFont val="Arial"/>
        <family val="2"/>
      </rPr>
      <t>, available: http://righg.raabassociates.org/events.asp?type=eid&amp;event=73</t>
    </r>
  </si>
  <si>
    <t>Percent difference between codes</t>
  </si>
  <si>
    <t>New code percent energy use of old code</t>
  </si>
  <si>
    <r>
      <t xml:space="preserve">                            </t>
    </r>
    <r>
      <rPr>
        <b/>
        <sz val="11"/>
        <color indexed="8"/>
        <rFont val="Calibri"/>
        <family val="2"/>
      </rPr>
      <t>New Construction</t>
    </r>
  </si>
  <si>
    <t>New Code Energy Reduction/yr</t>
  </si>
  <si>
    <t>The MA GCA accelerates the adoption of new codes and makes adoption mandatory, but some part of the energy improvements is in the baseline; we take 1/2 of the new code improvement as incremental (5%)</t>
  </si>
  <si>
    <t xml:space="preserve">Renovations will not achieve the same level of energy improvement as new construction due to exclusions and projects that don't trigger compliance; we take 1/2 of the incremental new construction impacts (~2.5%) </t>
  </si>
  <si>
    <t>Roofing program summary</t>
  </si>
  <si>
    <t xml:space="preserve">Note: measures to implement residential cool roofs are not a part of the mitigation programs being considered for this update to the Climate Action Plan </t>
  </si>
  <si>
    <r>
      <t xml:space="preserve">Center for Clean Air Policy, </t>
    </r>
    <r>
      <rPr>
        <i/>
        <sz val="10"/>
        <rFont val="Arial"/>
        <family val="2"/>
      </rPr>
      <t>Cost Effective GHG Reduction through Smart Growth and Improved Transportation Choices</t>
    </r>
    <r>
      <rPr>
        <sz val="10"/>
        <rFont val="Arial"/>
        <family val="2"/>
      </rPr>
      <t>, p. 13: http://www.ccap.org/docs/resources/677/CCAP%20Smart%20Growth%20-$%20per%20ton%20CO2%20(June%202009)%20FINAL%202.pdf</t>
    </r>
  </si>
  <si>
    <t>CA (CCAP Report)</t>
  </si>
  <si>
    <t>The difference between the current code and the next model code update, for new construction, is 10%, as shown above</t>
  </si>
  <si>
    <t>New Building Code Acceleration and Stretch Code Adoption Impacts</t>
  </si>
  <si>
    <t>Number of years impacted by new codes</t>
  </si>
  <si>
    <t>Adoption of the stretch code is not mandatory, but adoption essentially accelerates the adoption of future code updates; we take half of the impact of the incremental improvement of the full code update for strech code impacts (~0.69%)</t>
  </si>
  <si>
    <t>Total Electric</t>
  </si>
  <si>
    <t>Total Gas</t>
  </si>
  <si>
    <t>Boston Energy Use Summary</t>
  </si>
  <si>
    <t>Boston Building Stock</t>
  </si>
  <si>
    <t>Stretch Code Electric</t>
  </si>
  <si>
    <t>Strech Code Gas</t>
  </si>
  <si>
    <t>Smart Growth/VMT Reduction</t>
  </si>
  <si>
    <t>Total 2020 Savings      ($ million)</t>
  </si>
  <si>
    <t>Savings ($/ton)</t>
  </si>
  <si>
    <t>total</t>
  </si>
  <si>
    <t>elec. %</t>
  </si>
  <si>
    <t>NG %</t>
  </si>
  <si>
    <t>total annual GHG reduction from retrofit ordinance requirement</t>
  </si>
  <si>
    <t xml:space="preserve">Transportation </t>
  </si>
  <si>
    <t>Weighted Electric &amp; Gas MA SBC</t>
  </si>
  <si>
    <t xml:space="preserve">Cumulative GHG Reduced Through 2020 (000 tons) </t>
  </si>
  <si>
    <t xml:space="preserve">Boston % emissions by fuel type </t>
  </si>
  <si>
    <t>Emissions % of total</t>
  </si>
  <si>
    <t>1.5x Weighted Electric &amp; Gas MA SBC</t>
  </si>
  <si>
    <t>Fuel type emissions worksheet for SBC Weighted Avg.</t>
  </si>
  <si>
    <t>Proportion</t>
  </si>
  <si>
    <t>of Total</t>
  </si>
  <si>
    <t>Sector/Fuel breakdown</t>
  </si>
  <si>
    <t xml:space="preserve">** MA Electric 3-Year Plan, pp. 8-10: http://www.ma-eeac.org/docs/DPU-filing/ElectricPlanFinalOct09.pdf </t>
  </si>
  <si>
    <t>*** MA Gas 3-year Plan, pp. 14-16: http://www.ma-eeac.org/docs/DPU-filing/GasPlanFinalOct09.pdf</t>
  </si>
  <si>
    <t>Electric**</t>
  </si>
  <si>
    <t>Gas***</t>
  </si>
  <si>
    <t>75% of 1.5x Weighted Electric &amp; Gas MA SBC*</t>
  </si>
  <si>
    <t xml:space="preserve">* Stretch code net savings are slightly less than standard building code savings because the marginal costs of measures associated with meeting the Stretch Code are slightly higher than the marginal costs of measures associated with meeting the standard code.  </t>
  </si>
  <si>
    <t>As of April 12, 2010</t>
  </si>
  <si>
    <t>Boston Community Energy Use</t>
  </si>
  <si>
    <t>Combined Federal/State CAFÉ and GHG Reduction Requirements for Vehicles</t>
  </si>
  <si>
    <t>Vehicle Efficiency Improvement Requirements</t>
  </si>
  <si>
    <t>Low-Carbon Fuel Standard for Vehicles and Heating Fuels</t>
  </si>
  <si>
    <t>11 NE States currently considering LCFS for transportation and heating fuels in NE</t>
  </si>
  <si>
    <t xml:space="preserve">Start year is still uncertain, but could be 2015 </t>
  </si>
  <si>
    <t>LCFS GHG reduction impact for gasoline, diesel, and heating oil/propane</t>
  </si>
  <si>
    <t xml:space="preserve">Assumptions: </t>
  </si>
  <si>
    <t>Prepared Originally by Fran Cummings, Peregrine Energy</t>
  </si>
  <si>
    <t>Behavior Change in Buildings and Personal Vehicles</t>
  </si>
  <si>
    <t>Massachusetts Renewable Portfolio Standards (RPS)</t>
  </si>
  <si>
    <t>Building Rating and Labeling</t>
  </si>
  <si>
    <t>Solid Waste and Recycling</t>
  </si>
  <si>
    <t xml:space="preserve">VMT Reduction </t>
  </si>
  <si>
    <t>Utility Electric and Gas Energy Efficiency Programs</t>
  </si>
  <si>
    <t xml:space="preserve">Federal Appliance Standards </t>
  </si>
  <si>
    <t>Boston GHG Emissions Reduction Net Savings</t>
  </si>
  <si>
    <t>Green Roofs</t>
  </si>
  <si>
    <t>Energy Conservation Retrofit Ordinances</t>
  </si>
  <si>
    <t>Buildings Energy Codes and Stretch Code</t>
  </si>
  <si>
    <t>Additional Calculations</t>
  </si>
  <si>
    <t>2007 Percent Residential Electricity</t>
  </si>
  <si>
    <t>Percent Natural Gas plus Fuel Oil</t>
  </si>
  <si>
    <t>Percent Residential</t>
  </si>
  <si>
    <t>Percent VMT Gasoline</t>
  </si>
  <si>
    <t>Percent VMT Diesel</t>
  </si>
  <si>
    <t>Total Percent VMT (Gas plus Diesel)</t>
  </si>
  <si>
    <t>Electricity Res/Comm Breakdown</t>
  </si>
  <si>
    <t>Nat Gas Res/Comm Breakdown</t>
  </si>
  <si>
    <t>Fuel Oil Res/Comm Breakdown</t>
  </si>
  <si>
    <t>Percent Electricity and Natural Gas Res vs. Comm</t>
  </si>
  <si>
    <t>Sparking Boston's Climate Revolution</t>
  </si>
  <si>
    <t>Recommendations of the Climate Action Leadership Committee and Community Advisory Committee</t>
  </si>
  <si>
    <t>Spreadsheet and all worksheets prepared by Raab Associates, Ltd.(www.RaabAssociates.org) with assistance from CLF Ventures, City of Boston, and others</t>
  </si>
  <si>
    <t>www.cityofboston.gov/climate</t>
  </si>
  <si>
    <t>Calculations, assumptions, and references for GHG reductions and economic benefits of climate mitigation recommendations</t>
  </si>
  <si>
    <t xml:space="preserve">Those mitigation recommendations along with other recommendations related to adaptation, community engagement, and the green economy can be found on the </t>
  </si>
  <si>
    <t>by Boston's Climate Action Leadership Committee and Community Advisory Committee.</t>
  </si>
  <si>
    <t xml:space="preserve">City's climate action website at </t>
  </si>
  <si>
    <t xml:space="preserve">The results in these worksheets supported the development of mitigation recommendations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</si>
</sst>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00_);_(* \(#,##0.000\);_(* &quot;-&quot;??_);_(@_)"/>
    <numFmt numFmtId="168" formatCode="0.0"/>
    <numFmt numFmtId="169" formatCode="0.000%"/>
    <numFmt numFmtId="170" formatCode="0.0000%"/>
    <numFmt numFmtId="171" formatCode="0.00000"/>
    <numFmt numFmtId="172" formatCode="_(* #,##0.00000_);_(* \(#,##0.00000\);_(* &quot;-&quot;??_);_(@_)"/>
    <numFmt numFmtId="173" formatCode="_(&quot;$&quot;* #,##0_);_(&quot;$&quot;* \(#,##0\);_(&quot;$&quot;* &quot;-&quot;??_);_(@_)"/>
    <numFmt numFmtId="174" formatCode="_(* #,##0.00000000000_);_(* \(#,##0.00000000000\);_(* &quot;-&quot;??_);_(@_)"/>
    <numFmt numFmtId="175" formatCode="_(* #,##0.00000000_);_(* \(#,##0.00000000\);_(* &quot;-&quot;??_);_(@_)"/>
    <numFmt numFmtId="176" formatCode="0.000000000000000%"/>
    <numFmt numFmtId="177" formatCode="_(* #,##0.0000_);_(* \(#,##0.0000\);_(* &quot;-&quot;??_);_(@_)"/>
  </numFmts>
  <fonts count="77">
    <font>
      <sz val="10"/>
      <name val="Arial"/>
      <family val="0"/>
    </font>
    <font>
      <sz val="11"/>
      <color indexed="8"/>
      <name val="Calibri"/>
      <family val="2"/>
    </font>
    <font>
      <sz val="8"/>
      <name val="Arial"/>
      <family val="2"/>
    </font>
    <font>
      <b/>
      <sz val="10"/>
      <name val="Arial"/>
      <family val="2"/>
    </font>
    <font>
      <sz val="14"/>
      <name val="Arial"/>
      <family val="2"/>
    </font>
    <font>
      <b/>
      <u val="single"/>
      <sz val="12"/>
      <name val="Arial"/>
      <family val="2"/>
    </font>
    <font>
      <sz val="10"/>
      <name val="Verdana"/>
      <family val="2"/>
    </font>
    <font>
      <b/>
      <sz val="10"/>
      <name val="Verdana"/>
      <family val="2"/>
    </font>
    <font>
      <u val="single"/>
      <sz val="10"/>
      <name val="Verdana"/>
      <family val="2"/>
    </font>
    <font>
      <b/>
      <u val="single"/>
      <sz val="10"/>
      <name val="Verdana"/>
      <family val="2"/>
    </font>
    <font>
      <i/>
      <sz val="10"/>
      <name val="Verdana"/>
      <family val="2"/>
    </font>
    <font>
      <sz val="9"/>
      <name val="Verdana"/>
      <family val="2"/>
    </font>
    <font>
      <sz val="11"/>
      <name val="Verdana"/>
      <family val="2"/>
    </font>
    <font>
      <sz val="7.5"/>
      <color indexed="18"/>
      <name val="Wingdings"/>
      <family val="0"/>
    </font>
    <font>
      <sz val="8"/>
      <color indexed="24"/>
      <name val="Wingdings"/>
      <family val="0"/>
    </font>
    <font>
      <b/>
      <sz val="12"/>
      <name val="Arial"/>
      <family val="2"/>
    </font>
    <font>
      <u val="single"/>
      <sz val="10"/>
      <name val="Arial"/>
      <family val="2"/>
    </font>
    <font>
      <vertAlign val="subscript"/>
      <sz val="10"/>
      <name val="Arial"/>
      <family val="2"/>
    </font>
    <font>
      <i/>
      <sz val="11"/>
      <color indexed="8"/>
      <name val="Calibri"/>
      <family val="2"/>
    </font>
    <font>
      <sz val="11"/>
      <name val="Calibri"/>
      <family val="2"/>
    </font>
    <font>
      <b/>
      <sz val="11"/>
      <color indexed="8"/>
      <name val="Calibri"/>
      <family val="2"/>
    </font>
    <font>
      <sz val="11"/>
      <color indexed="10"/>
      <name val="Calibri"/>
      <family val="2"/>
    </font>
    <font>
      <b/>
      <sz val="11"/>
      <color indexed="10"/>
      <name val="Calibri"/>
      <family val="2"/>
    </font>
    <font>
      <sz val="11"/>
      <color indexed="55"/>
      <name val="Calibri"/>
      <family val="2"/>
    </font>
    <font>
      <sz val="11"/>
      <color indexed="12"/>
      <name val="Calibri"/>
      <family val="2"/>
    </font>
    <font>
      <sz val="11"/>
      <color indexed="20"/>
      <name val="Calibri"/>
      <family val="2"/>
    </font>
    <font>
      <sz val="11"/>
      <color indexed="48"/>
      <name val="Calibri"/>
      <family val="2"/>
    </font>
    <font>
      <b/>
      <sz val="12"/>
      <color indexed="9"/>
      <name val="Verdana"/>
      <family val="2"/>
    </font>
    <font>
      <sz val="10"/>
      <color indexed="9"/>
      <name val="Verdana"/>
      <family val="2"/>
    </font>
    <font>
      <b/>
      <sz val="10"/>
      <color indexed="9"/>
      <name val="Verdana"/>
      <family val="2"/>
    </font>
    <font>
      <b/>
      <sz val="10"/>
      <color indexed="17"/>
      <name val="Verdana"/>
      <family val="2"/>
    </font>
    <font>
      <b/>
      <i/>
      <sz val="10"/>
      <color indexed="9"/>
      <name val="Verdana"/>
      <family val="2"/>
    </font>
    <font>
      <b/>
      <sz val="10"/>
      <color indexed="21"/>
      <name val="Verdana"/>
      <family val="2"/>
    </font>
    <font>
      <b/>
      <sz val="8"/>
      <name val="Tahoma"/>
      <family val="2"/>
    </font>
    <font>
      <sz val="8"/>
      <name val="Tahoma"/>
      <family val="2"/>
    </font>
    <font>
      <i/>
      <sz val="10"/>
      <name val="Arial"/>
      <family val="2"/>
    </font>
    <font>
      <b/>
      <i/>
      <sz val="10"/>
      <color indexed="21"/>
      <name val="Verdana"/>
      <family val="2"/>
    </font>
    <font>
      <sz val="9"/>
      <name val="Georgia"/>
      <family val="1"/>
    </font>
    <font>
      <b/>
      <sz val="9"/>
      <name val="Georgia"/>
      <family val="1"/>
    </font>
    <font>
      <b/>
      <vertAlign val="subscript"/>
      <sz val="9"/>
      <name val="Georgia"/>
      <family val="1"/>
    </font>
    <font>
      <b/>
      <i/>
      <sz val="10"/>
      <name val="Arial"/>
      <family val="2"/>
    </font>
    <font>
      <sz val="8"/>
      <name val="Verdana"/>
      <family val="2"/>
    </font>
    <font>
      <b/>
      <sz val="10"/>
      <color indexed="9"/>
      <name val="Arial"/>
      <family val="2"/>
    </font>
    <font>
      <b/>
      <sz val="12"/>
      <color indexed="9"/>
      <name val="Arial"/>
      <family val="2"/>
    </font>
    <font>
      <b/>
      <u val="single"/>
      <sz val="11"/>
      <color indexed="8"/>
      <name val="Calibri"/>
      <family val="2"/>
    </font>
    <font>
      <b/>
      <sz val="11"/>
      <name val="Calibri"/>
      <family val="2"/>
    </font>
    <font>
      <b/>
      <u val="single"/>
      <sz val="10"/>
      <name val="Arial"/>
      <family val="2"/>
    </font>
    <font>
      <b/>
      <u val="singleAccounting"/>
      <sz val="12"/>
      <name val="Arial"/>
      <family val="2"/>
    </font>
    <font>
      <b/>
      <sz val="12"/>
      <color indexed="10"/>
      <name val="Arial"/>
      <family val="2"/>
    </font>
    <font>
      <b/>
      <sz val="11"/>
      <color indexed="55"/>
      <name val="Calibri"/>
      <family val="2"/>
    </font>
    <font>
      <b/>
      <sz val="11"/>
      <name val="Verdana"/>
      <family val="2"/>
    </font>
    <font>
      <b/>
      <sz val="10"/>
      <color indexed="53"/>
      <name val="Verdana"/>
      <family val="2"/>
    </font>
    <font>
      <sz val="12"/>
      <name val="Arial"/>
      <family val="2"/>
    </font>
    <font>
      <b/>
      <sz val="14"/>
      <name val="Arial"/>
      <family val="2"/>
    </font>
    <font>
      <sz val="14"/>
      <color indexed="8"/>
      <name val="Arial"/>
      <family val="2"/>
    </font>
    <font>
      <sz val="12"/>
      <name val="Verdana"/>
      <family val="2"/>
    </font>
    <font>
      <u val="single"/>
      <sz val="10"/>
      <color indexed="12"/>
      <name val="Arial"/>
      <family val="0"/>
    </font>
    <font>
      <u val="single"/>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75"/>
      <color indexed="8"/>
      <name val="Arial"/>
      <family val="0"/>
    </font>
    <font>
      <sz val="12"/>
      <color indexed="8"/>
      <name val="Arial"/>
      <family val="0"/>
    </font>
    <font>
      <b/>
      <sz val="12"/>
      <color indexed="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top style="thin"/>
      <bottom style="thin"/>
    </border>
    <border>
      <left style="thin"/>
      <right/>
      <top style="thin"/>
      <bottom/>
    </border>
    <border>
      <left style="thin"/>
      <right/>
      <top/>
      <bottom/>
    </border>
    <border>
      <left/>
      <right/>
      <top/>
      <bottom style="thin"/>
    </border>
    <border>
      <left style="thin"/>
      <right/>
      <top/>
      <bottom style="thin"/>
    </border>
    <border>
      <left style="thin"/>
      <right style="thin"/>
      <top/>
      <bottom style="thin"/>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right style="thin"/>
      <top/>
      <bottom style="thin"/>
    </border>
    <border>
      <left/>
      <right style="thin"/>
      <top/>
      <bottom/>
    </border>
    <border>
      <left/>
      <right/>
      <top style="thin"/>
      <bottom/>
    </border>
    <border>
      <left style="thin">
        <color indexed="8"/>
      </left>
      <right style="thin">
        <color indexed="8"/>
      </right>
      <top style="thin">
        <color indexed="8"/>
      </top>
      <bottom style="thin">
        <color indexed="8"/>
      </bottom>
    </border>
    <border>
      <left/>
      <right/>
      <top style="thin"/>
      <bottom style="thin"/>
    </border>
    <border>
      <left/>
      <right style="thin"/>
      <top style="thin"/>
      <bottom/>
    </border>
    <border>
      <left/>
      <right style="thin"/>
      <top style="thin"/>
      <bottom style="thin"/>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top/>
      <bottom style="thin"/>
    </border>
    <border>
      <left style="medium"/>
      <right/>
      <top style="medium"/>
      <bottom style="thin"/>
    </border>
    <border>
      <left/>
      <right style="medium"/>
      <top style="thin"/>
      <bottom style="thin"/>
    </border>
    <border>
      <left/>
      <right style="medium"/>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25" fillId="3" borderId="0" applyNumberFormat="0" applyBorder="0" applyAlignment="0" applyProtection="0"/>
    <xf numFmtId="0" fontId="66" fillId="20" borderId="1" applyNumberFormat="0" applyAlignment="0" applyProtection="0"/>
    <xf numFmtId="0" fontId="6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6" fillId="0" borderId="0" applyNumberFormat="0" applyFill="0" applyBorder="0" applyAlignment="0" applyProtection="0"/>
    <xf numFmtId="0" fontId="64" fillId="7" borderId="1" applyNumberFormat="0" applyAlignment="0" applyProtection="0"/>
    <xf numFmtId="0" fontId="67" fillId="0" borderId="6" applyNumberFormat="0" applyFill="0" applyAlignment="0" applyProtection="0"/>
    <xf numFmtId="0" fontId="63" fillId="22" borderId="0" applyNumberFormat="0" applyBorder="0" applyAlignment="0" applyProtection="0"/>
    <xf numFmtId="0" fontId="0" fillId="23" borderId="7" applyNumberFormat="0" applyFont="0" applyAlignment="0" applyProtection="0"/>
    <xf numFmtId="0" fontId="65"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41">
    <xf numFmtId="0" fontId="0" fillId="0" borderId="0" xfId="0" applyAlignment="1">
      <alignment/>
    </xf>
    <xf numFmtId="164" fontId="0" fillId="0" borderId="0" xfId="0" applyNumberFormat="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164" fontId="5" fillId="0" borderId="0" xfId="0" applyNumberFormat="1" applyFont="1" applyAlignment="1">
      <alignment/>
    </xf>
    <xf numFmtId="0" fontId="5" fillId="0" borderId="0" xfId="0" applyFont="1" applyAlignment="1">
      <alignment/>
    </xf>
    <xf numFmtId="9"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8" fillId="0" borderId="0" xfId="0" applyFont="1" applyAlignment="1">
      <alignment horizontal="center"/>
    </xf>
    <xf numFmtId="0" fontId="9" fillId="0" borderId="0" xfId="0" applyFont="1" applyAlignment="1">
      <alignment horizontal="center"/>
    </xf>
    <xf numFmtId="3" fontId="6" fillId="0" borderId="0" xfId="0" applyNumberFormat="1" applyFont="1" applyAlignment="1">
      <alignment/>
    </xf>
    <xf numFmtId="0" fontId="9" fillId="0" borderId="0" xfId="0" applyFont="1" applyAlignment="1">
      <alignment/>
    </xf>
    <xf numFmtId="165" fontId="10" fillId="0" borderId="0" xfId="42" applyNumberFormat="1" applyFont="1" applyAlignment="1">
      <alignment/>
    </xf>
    <xf numFmtId="165" fontId="6" fillId="0" borderId="0" xfId="42" applyNumberFormat="1" applyFont="1" applyAlignment="1">
      <alignment/>
    </xf>
    <xf numFmtId="165" fontId="6" fillId="0" borderId="0" xfId="42" applyNumberFormat="1" applyFont="1" applyBorder="1" applyAlignment="1">
      <alignment/>
    </xf>
    <xf numFmtId="165" fontId="6" fillId="0" borderId="0" xfId="42" applyNumberFormat="1" applyFont="1" applyAlignment="1">
      <alignment horizontal="center"/>
    </xf>
    <xf numFmtId="165" fontId="6" fillId="0" borderId="11" xfId="42" applyNumberFormat="1" applyFont="1" applyBorder="1" applyAlignment="1">
      <alignment/>
    </xf>
    <xf numFmtId="0" fontId="6" fillId="0" borderId="0" xfId="0" applyFont="1" applyBorder="1" applyAlignment="1">
      <alignment/>
    </xf>
    <xf numFmtId="165" fontId="9" fillId="0" borderId="0" xfId="42" applyNumberFormat="1" applyFont="1" applyAlignment="1">
      <alignment/>
    </xf>
    <xf numFmtId="165" fontId="6" fillId="0" borderId="11" xfId="42" applyNumberFormat="1" applyFont="1" applyBorder="1" applyAlignment="1">
      <alignment horizontal="right"/>
    </xf>
    <xf numFmtId="3" fontId="6" fillId="0" borderId="11" xfId="0" applyNumberFormat="1" applyFont="1" applyBorder="1" applyAlignment="1">
      <alignment/>
    </xf>
    <xf numFmtId="0" fontId="6" fillId="0" borderId="0" xfId="0" applyFont="1" applyAlignment="1">
      <alignment horizontal="left"/>
    </xf>
    <xf numFmtId="165" fontId="6" fillId="0" borderId="0" xfId="42" applyNumberFormat="1" applyFont="1" applyAlignment="1">
      <alignment horizontal="left"/>
    </xf>
    <xf numFmtId="165" fontId="6" fillId="0" borderId="0" xfId="0" applyNumberFormat="1" applyFont="1" applyAlignment="1">
      <alignment/>
    </xf>
    <xf numFmtId="165" fontId="6" fillId="0" borderId="0" xfId="42" applyNumberFormat="1" applyFont="1" applyBorder="1" applyAlignment="1">
      <alignment horizontal="center"/>
    </xf>
    <xf numFmtId="0" fontId="6" fillId="0" borderId="0" xfId="0" applyFont="1" applyAlignment="1">
      <alignment horizontal="center"/>
    </xf>
    <xf numFmtId="165" fontId="6" fillId="0" borderId="11" xfId="42" applyNumberFormat="1" applyFont="1" applyFill="1" applyBorder="1" applyAlignment="1">
      <alignment/>
    </xf>
    <xf numFmtId="165" fontId="6" fillId="0" borderId="0" xfId="42" applyNumberFormat="1" applyFont="1" applyFill="1" applyAlignment="1">
      <alignment/>
    </xf>
    <xf numFmtId="3" fontId="6" fillId="0" borderId="0" xfId="0" applyNumberFormat="1" applyFont="1" applyBorder="1" applyAlignment="1">
      <alignment/>
    </xf>
    <xf numFmtId="0" fontId="6" fillId="0" borderId="0" xfId="0" applyFont="1" applyBorder="1" applyAlignment="1">
      <alignment horizontal="left"/>
    </xf>
    <xf numFmtId="0" fontId="9" fillId="0" borderId="0" xfId="0" applyFont="1" applyFill="1" applyBorder="1" applyAlignment="1">
      <alignment horizontal="left"/>
    </xf>
    <xf numFmtId="165" fontId="9" fillId="0" borderId="0" xfId="42" applyNumberFormat="1" applyFont="1" applyFill="1" applyBorder="1" applyAlignment="1">
      <alignment horizontal="left"/>
    </xf>
    <xf numFmtId="0" fontId="6" fillId="0" borderId="0" xfId="0" applyFont="1" applyFill="1" applyBorder="1" applyAlignment="1">
      <alignment horizontal="center"/>
    </xf>
    <xf numFmtId="0" fontId="8" fillId="0" borderId="0" xfId="0" applyFont="1" applyAlignment="1">
      <alignment/>
    </xf>
    <xf numFmtId="10" fontId="6" fillId="0" borderId="0" xfId="58" applyNumberFormat="1" applyFont="1" applyAlignment="1">
      <alignment/>
    </xf>
    <xf numFmtId="10" fontId="6" fillId="0" borderId="0" xfId="0" applyNumberFormat="1" applyFont="1" applyAlignment="1">
      <alignment/>
    </xf>
    <xf numFmtId="0" fontId="7"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Alignment="1">
      <alignment wrapText="1"/>
    </xf>
    <xf numFmtId="0" fontId="9" fillId="0" borderId="0" xfId="0" applyFont="1" applyAlignment="1">
      <alignment horizontal="center" wrapText="1"/>
    </xf>
    <xf numFmtId="165" fontId="11" fillId="0" borderId="0" xfId="42" applyNumberFormat="1" applyFont="1" applyAlignment="1">
      <alignment horizontal="right"/>
    </xf>
    <xf numFmtId="164" fontId="0" fillId="0" borderId="0" xfId="42" applyNumberFormat="1" applyFont="1" applyAlignment="1">
      <alignment/>
    </xf>
    <xf numFmtId="165" fontId="0" fillId="0" borderId="0" xfId="42" applyNumberFormat="1" applyFont="1" applyAlignment="1">
      <alignment/>
    </xf>
    <xf numFmtId="0" fontId="0" fillId="0" borderId="13" xfId="0" applyBorder="1" applyAlignment="1">
      <alignment/>
    </xf>
    <xf numFmtId="0" fontId="0" fillId="0" borderId="14" xfId="0" applyBorder="1" applyAlignment="1">
      <alignment/>
    </xf>
    <xf numFmtId="165" fontId="0" fillId="0" borderId="11" xfId="42" applyNumberFormat="1" applyFont="1" applyBorder="1" applyAlignment="1">
      <alignment/>
    </xf>
    <xf numFmtId="0" fontId="7" fillId="0" borderId="15" xfId="0" applyFont="1" applyBorder="1" applyAlignment="1">
      <alignment/>
    </xf>
    <xf numFmtId="165" fontId="6" fillId="0" borderId="15" xfId="42" applyNumberFormat="1" applyFont="1" applyBorder="1" applyAlignment="1">
      <alignment/>
    </xf>
    <xf numFmtId="164" fontId="0" fillId="0" borderId="15" xfId="42" applyNumberFormat="1" applyFont="1" applyBorder="1" applyAlignment="1">
      <alignment/>
    </xf>
    <xf numFmtId="165" fontId="0" fillId="0" borderId="15" xfId="42" applyNumberFormat="1" applyFont="1" applyBorder="1" applyAlignment="1">
      <alignment/>
    </xf>
    <xf numFmtId="2" fontId="0" fillId="0" borderId="0" xfId="42" applyNumberFormat="1" applyFont="1" applyAlignment="1">
      <alignment/>
    </xf>
    <xf numFmtId="0" fontId="0" fillId="0" borderId="16" xfId="0" applyBorder="1" applyAlignment="1">
      <alignment/>
    </xf>
    <xf numFmtId="165" fontId="0" fillId="0" borderId="0" xfId="0" applyNumberFormat="1" applyAlignment="1">
      <alignment/>
    </xf>
    <xf numFmtId="0" fontId="0" fillId="0" borderId="15" xfId="0" applyBorder="1" applyAlignment="1">
      <alignment/>
    </xf>
    <xf numFmtId="0" fontId="0" fillId="0" borderId="0" xfId="0" applyAlignment="1">
      <alignment horizontal="center"/>
    </xf>
    <xf numFmtId="165" fontId="0" fillId="0" borderId="0" xfId="42" applyNumberFormat="1" applyFont="1" applyBorder="1" applyAlignment="1">
      <alignment/>
    </xf>
    <xf numFmtId="0" fontId="0" fillId="0" borderId="15" xfId="0" applyBorder="1" applyAlignment="1">
      <alignment horizontal="center"/>
    </xf>
    <xf numFmtId="0" fontId="7" fillId="0" borderId="0" xfId="0" applyFont="1" applyFill="1" applyBorder="1" applyAlignment="1">
      <alignment horizontal="center"/>
    </xf>
    <xf numFmtId="165" fontId="7" fillId="0" borderId="0" xfId="42" applyNumberFormat="1" applyFont="1" applyFill="1" applyBorder="1" applyAlignment="1">
      <alignment horizontal="center"/>
    </xf>
    <xf numFmtId="165" fontId="0" fillId="0" borderId="11" xfId="0" applyNumberFormat="1" applyBorder="1" applyAlignment="1">
      <alignment/>
    </xf>
    <xf numFmtId="0" fontId="6" fillId="0" borderId="15" xfId="0" applyFont="1" applyBorder="1" applyAlignment="1">
      <alignment horizontal="left"/>
    </xf>
    <xf numFmtId="165" fontId="0" fillId="0" borderId="15" xfId="0" applyNumberFormat="1" applyBorder="1" applyAlignment="1">
      <alignment/>
    </xf>
    <xf numFmtId="0" fontId="7" fillId="0" borderId="0" xfId="0" applyFont="1" applyAlignment="1">
      <alignment wrapText="1"/>
    </xf>
    <xf numFmtId="165" fontId="12" fillId="0" borderId="0" xfId="0" applyNumberFormat="1" applyFont="1" applyAlignment="1">
      <alignment wrapText="1"/>
    </xf>
    <xf numFmtId="165" fontId="7" fillId="0" borderId="0" xfId="42" applyNumberFormat="1" applyFont="1" applyAlignment="1">
      <alignment wrapText="1"/>
    </xf>
    <xf numFmtId="0" fontId="11" fillId="0" borderId="0" xfId="0" applyFont="1" applyAlignment="1">
      <alignment/>
    </xf>
    <xf numFmtId="43" fontId="11" fillId="0" borderId="0" xfId="0" applyNumberFormat="1" applyFont="1" applyAlignment="1">
      <alignment/>
    </xf>
    <xf numFmtId="165" fontId="11" fillId="0" borderId="0" xfId="0" applyNumberFormat="1" applyFont="1" applyAlignment="1">
      <alignment/>
    </xf>
    <xf numFmtId="43" fontId="0" fillId="0" borderId="0" xfId="0" applyNumberFormat="1" applyAlignment="1">
      <alignment/>
    </xf>
    <xf numFmtId="0" fontId="0" fillId="24" borderId="0" xfId="0" applyFill="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0" xfId="0" applyAlignment="1">
      <alignment vertical="top" wrapText="1"/>
    </xf>
    <xf numFmtId="0" fontId="0" fillId="0" borderId="0" xfId="0" applyFill="1" applyAlignment="1">
      <alignment vertical="top" wrapText="1"/>
    </xf>
    <xf numFmtId="0" fontId="0" fillId="20" borderId="0" xfId="0" applyFill="1" applyAlignment="1">
      <alignment vertical="top" wrapText="1"/>
    </xf>
    <xf numFmtId="0" fontId="0" fillId="17" borderId="0" xfId="0" applyFont="1" applyFill="1" applyAlignment="1">
      <alignment vertical="top" wrapText="1"/>
    </xf>
    <xf numFmtId="0" fontId="0" fillId="0" borderId="0" xfId="0" applyFill="1" applyAlignment="1">
      <alignment/>
    </xf>
    <xf numFmtId="168" fontId="0" fillId="0" borderId="0" xfId="0" applyNumberFormat="1" applyAlignment="1">
      <alignment/>
    </xf>
    <xf numFmtId="3" fontId="0" fillId="0" borderId="0" xfId="0" applyNumberFormat="1" applyAlignment="1">
      <alignment/>
    </xf>
    <xf numFmtId="168" fontId="0" fillId="17" borderId="0" xfId="0" applyNumberFormat="1" applyFont="1" applyFill="1" applyAlignment="1">
      <alignment/>
    </xf>
    <xf numFmtId="168" fontId="0" fillId="0" borderId="0" xfId="0" applyNumberFormat="1" applyFill="1" applyAlignment="1">
      <alignment/>
    </xf>
    <xf numFmtId="168" fontId="0" fillId="0" borderId="0" xfId="0" applyNumberFormat="1" applyFont="1" applyFill="1" applyAlignment="1">
      <alignment/>
    </xf>
    <xf numFmtId="164" fontId="0" fillId="0" borderId="0" xfId="0" applyNumberFormat="1" applyFill="1" applyAlignment="1">
      <alignment/>
    </xf>
    <xf numFmtId="0" fontId="0" fillId="20" borderId="0" xfId="0" applyFill="1" applyAlignment="1">
      <alignment/>
    </xf>
    <xf numFmtId="0" fontId="0" fillId="0" borderId="0" xfId="0" applyAlignment="1">
      <alignment horizontal="center" vertical="top" wrapText="1"/>
    </xf>
    <xf numFmtId="1" fontId="0" fillId="0" borderId="0" xfId="0" applyNumberFormat="1" applyFill="1" applyAlignment="1">
      <alignment horizontal="center" vertical="top" wrapText="1"/>
    </xf>
    <xf numFmtId="1" fontId="0" fillId="0" borderId="0" xfId="0" applyNumberFormat="1" applyAlignment="1">
      <alignment/>
    </xf>
    <xf numFmtId="1" fontId="0" fillId="0" borderId="0" xfId="0" applyNumberFormat="1" applyFill="1" applyAlignment="1">
      <alignment vertical="top" wrapText="1"/>
    </xf>
    <xf numFmtId="0" fontId="0" fillId="0" borderId="0" xfId="0" applyFont="1" applyAlignment="1">
      <alignment/>
    </xf>
    <xf numFmtId="9" fontId="0" fillId="0" borderId="0" xfId="0" applyNumberFormat="1" applyFill="1" applyAlignment="1">
      <alignment/>
    </xf>
    <xf numFmtId="2" fontId="0" fillId="0" borderId="0" xfId="0" applyNumberFormat="1" applyAlignment="1">
      <alignment/>
    </xf>
    <xf numFmtId="1" fontId="0" fillId="0" borderId="0" xfId="0" applyNumberFormat="1" applyFill="1" applyAlignment="1">
      <alignment/>
    </xf>
    <xf numFmtId="0" fontId="0" fillId="7" borderId="11" xfId="0" applyFill="1" applyBorder="1" applyAlignment="1">
      <alignment/>
    </xf>
    <xf numFmtId="0" fontId="0" fillId="4" borderId="11" xfId="0" applyFill="1" applyBorder="1" applyAlignment="1">
      <alignment/>
    </xf>
    <xf numFmtId="0" fontId="0" fillId="25" borderId="11" xfId="0" applyFill="1" applyBorder="1" applyAlignment="1">
      <alignment/>
    </xf>
    <xf numFmtId="0" fontId="0" fillId="7" borderId="17" xfId="0" applyFill="1" applyBorder="1" applyAlignment="1">
      <alignment/>
    </xf>
    <xf numFmtId="0" fontId="0" fillId="4" borderId="17" xfId="0" applyFill="1" applyBorder="1" applyAlignment="1">
      <alignment/>
    </xf>
    <xf numFmtId="0" fontId="0" fillId="25" borderId="17" xfId="0" applyFill="1" applyBorder="1" applyAlignment="1">
      <alignment/>
    </xf>
    <xf numFmtId="0" fontId="3" fillId="7" borderId="18" xfId="0" applyFont="1" applyFill="1" applyBorder="1" applyAlignment="1">
      <alignment/>
    </xf>
    <xf numFmtId="0" fontId="0" fillId="7" borderId="18" xfId="0" applyFill="1" applyBorder="1" applyAlignment="1">
      <alignment/>
    </xf>
    <xf numFmtId="0" fontId="3" fillId="4" borderId="18" xfId="0" applyFont="1" applyFill="1" applyBorder="1" applyAlignment="1">
      <alignment/>
    </xf>
    <xf numFmtId="0" fontId="0" fillId="4" borderId="18" xfId="0" applyFill="1" applyBorder="1" applyAlignment="1">
      <alignment/>
    </xf>
    <xf numFmtId="0" fontId="3" fillId="25" borderId="18" xfId="0" applyFont="1" applyFill="1" applyBorder="1" applyAlignment="1">
      <alignment/>
    </xf>
    <xf numFmtId="0" fontId="0" fillId="25" borderId="18" xfId="0" applyFill="1" applyBorder="1" applyAlignment="1">
      <alignment/>
    </xf>
    <xf numFmtId="9" fontId="0" fillId="0" borderId="0" xfId="58" applyFont="1" applyAlignment="1">
      <alignment/>
    </xf>
    <xf numFmtId="0" fontId="3" fillId="24" borderId="0" xfId="0" applyFont="1" applyFill="1" applyAlignment="1">
      <alignment/>
    </xf>
    <xf numFmtId="9" fontId="3" fillId="24" borderId="0" xfId="0" applyNumberFormat="1" applyFont="1" applyFill="1" applyAlignment="1">
      <alignment/>
    </xf>
    <xf numFmtId="10" fontId="3" fillId="24" borderId="0" xfId="0" applyNumberFormat="1" applyFont="1" applyFill="1" applyAlignment="1">
      <alignment/>
    </xf>
    <xf numFmtId="9" fontId="3" fillId="24" borderId="0" xfId="58" applyFont="1" applyFill="1" applyAlignment="1">
      <alignment/>
    </xf>
    <xf numFmtId="10" fontId="3" fillId="0" borderId="0" xfId="0" applyNumberFormat="1" applyFont="1" applyAlignment="1">
      <alignment/>
    </xf>
    <xf numFmtId="0" fontId="0" fillId="7" borderId="11" xfId="0" applyFill="1" applyBorder="1" applyAlignment="1">
      <alignment horizontal="center"/>
    </xf>
    <xf numFmtId="0" fontId="0" fillId="4" borderId="11" xfId="0" applyFill="1" applyBorder="1" applyAlignment="1">
      <alignment horizontal="center"/>
    </xf>
    <xf numFmtId="0" fontId="0" fillId="25" borderId="11" xfId="0" applyFill="1" applyBorder="1" applyAlignment="1">
      <alignment horizontal="center"/>
    </xf>
    <xf numFmtId="164" fontId="0" fillId="7" borderId="11" xfId="0" applyNumberFormat="1" applyFill="1" applyBorder="1" applyAlignment="1">
      <alignment horizontal="center"/>
    </xf>
    <xf numFmtId="9" fontId="3" fillId="0" borderId="0" xfId="58" applyFont="1" applyFill="1" applyAlignment="1">
      <alignment/>
    </xf>
    <xf numFmtId="165" fontId="0" fillId="0" borderId="0" xfId="58" applyNumberFormat="1" applyFont="1" applyAlignment="1">
      <alignment/>
    </xf>
    <xf numFmtId="164" fontId="3" fillId="24" borderId="0" xfId="0" applyNumberFormat="1" applyFont="1" applyFill="1" applyAlignment="1">
      <alignment/>
    </xf>
    <xf numFmtId="164" fontId="3" fillId="0" borderId="0" xfId="0" applyNumberFormat="1" applyFont="1" applyFill="1" applyAlignment="1">
      <alignment/>
    </xf>
    <xf numFmtId="0" fontId="3" fillId="0" borderId="0" xfId="0" applyFont="1" applyAlignment="1">
      <alignment wrapText="1"/>
    </xf>
    <xf numFmtId="10" fontId="0" fillId="0" borderId="0" xfId="0" applyNumberFormat="1" applyAlignment="1">
      <alignment/>
    </xf>
    <xf numFmtId="0" fontId="3" fillId="0" borderId="0" xfId="0" applyFont="1" applyFill="1" applyAlignment="1">
      <alignment/>
    </xf>
    <xf numFmtId="1" fontId="5" fillId="0" borderId="0" xfId="0" applyNumberFormat="1" applyFont="1" applyAlignment="1">
      <alignment/>
    </xf>
    <xf numFmtId="1" fontId="5" fillId="0" borderId="0" xfId="0" applyNumberFormat="1" applyFont="1" applyFill="1" applyAlignment="1">
      <alignment/>
    </xf>
    <xf numFmtId="165" fontId="1" fillId="0" borderId="0" xfId="42" applyNumberFormat="1" applyFont="1" applyAlignment="1">
      <alignment/>
    </xf>
    <xf numFmtId="165" fontId="18" fillId="0" borderId="0" xfId="42" applyNumberFormat="1" applyFont="1" applyAlignment="1">
      <alignment/>
    </xf>
    <xf numFmtId="165" fontId="1" fillId="0" borderId="0" xfId="42" applyNumberFormat="1" applyFont="1" applyAlignment="1">
      <alignment horizontal="left" indent="2"/>
    </xf>
    <xf numFmtId="165" fontId="1" fillId="0" borderId="15" xfId="42" applyNumberFormat="1" applyFont="1" applyBorder="1" applyAlignment="1">
      <alignment/>
    </xf>
    <xf numFmtId="165" fontId="1" fillId="0" borderId="15" xfId="42" applyNumberFormat="1" applyFont="1" applyBorder="1" applyAlignment="1">
      <alignment horizontal="center"/>
    </xf>
    <xf numFmtId="165" fontId="1" fillId="0" borderId="0" xfId="42" applyNumberFormat="1" applyFont="1" applyFill="1" applyAlignment="1">
      <alignment horizontal="left" indent="3"/>
    </xf>
    <xf numFmtId="165" fontId="1" fillId="0" borderId="15" xfId="42" applyNumberFormat="1" applyFont="1" applyFill="1" applyBorder="1" applyAlignment="1">
      <alignment horizontal="center"/>
    </xf>
    <xf numFmtId="165" fontId="1" fillId="0" borderId="0" xfId="42" applyNumberFormat="1" applyFont="1" applyFill="1" applyBorder="1" applyAlignment="1">
      <alignment/>
    </xf>
    <xf numFmtId="10" fontId="1" fillId="0" borderId="0" xfId="58" applyNumberFormat="1" applyFont="1" applyFill="1" applyAlignment="1">
      <alignment/>
    </xf>
    <xf numFmtId="164" fontId="1" fillId="0" borderId="0" xfId="58" applyNumberFormat="1" applyFont="1" applyFill="1" applyAlignment="1">
      <alignment/>
    </xf>
    <xf numFmtId="166" fontId="1" fillId="0" borderId="15" xfId="42" applyNumberFormat="1" applyFont="1" applyBorder="1" applyAlignment="1">
      <alignment/>
    </xf>
    <xf numFmtId="172" fontId="1" fillId="0" borderId="0" xfId="42" applyNumberFormat="1" applyFont="1" applyFill="1" applyAlignment="1">
      <alignment/>
    </xf>
    <xf numFmtId="165" fontId="1" fillId="0" borderId="15" xfId="42" applyNumberFormat="1" applyFont="1" applyFill="1" applyBorder="1" applyAlignment="1">
      <alignment/>
    </xf>
    <xf numFmtId="165" fontId="1" fillId="0" borderId="0" xfId="42" applyNumberFormat="1" applyFont="1" applyBorder="1" applyAlignment="1">
      <alignment/>
    </xf>
    <xf numFmtId="165" fontId="1" fillId="0" borderId="0" xfId="42" applyNumberFormat="1" applyFont="1" applyFill="1" applyAlignment="1">
      <alignment horizontal="left" indent="1"/>
    </xf>
    <xf numFmtId="9" fontId="1" fillId="0" borderId="0" xfId="58" applyFont="1" applyFill="1" applyAlignment="1">
      <alignment/>
    </xf>
    <xf numFmtId="9" fontId="19" fillId="0" borderId="0" xfId="58" applyFont="1" applyFill="1" applyAlignment="1">
      <alignment/>
    </xf>
    <xf numFmtId="165" fontId="24" fillId="0" borderId="0" xfId="42" applyNumberFormat="1" applyFont="1" applyFill="1" applyAlignment="1">
      <alignment/>
    </xf>
    <xf numFmtId="165" fontId="19" fillId="0" borderId="0" xfId="42" applyNumberFormat="1" applyFont="1" applyFill="1" applyAlignment="1">
      <alignment/>
    </xf>
    <xf numFmtId="9" fontId="1" fillId="0" borderId="0" xfId="58" applyFont="1" applyFill="1" applyAlignment="1">
      <alignment horizontal="center"/>
    </xf>
    <xf numFmtId="165" fontId="26" fillId="0" borderId="0" xfId="42" applyNumberFormat="1" applyFont="1" applyAlignment="1">
      <alignment/>
    </xf>
    <xf numFmtId="10" fontId="0" fillId="0" borderId="0" xfId="0" applyNumberFormat="1" applyFill="1" applyAlignment="1">
      <alignment/>
    </xf>
    <xf numFmtId="164" fontId="5" fillId="11" borderId="0" xfId="0" applyNumberFormat="1" applyFont="1" applyFill="1" applyAlignment="1">
      <alignment/>
    </xf>
    <xf numFmtId="0" fontId="3" fillId="4" borderId="0" xfId="0" applyFont="1" applyFill="1" applyAlignment="1">
      <alignment/>
    </xf>
    <xf numFmtId="164" fontId="0" fillId="0" borderId="0" xfId="58" applyNumberFormat="1" applyFont="1" applyAlignment="1">
      <alignment/>
    </xf>
    <xf numFmtId="0" fontId="0" fillId="0" borderId="0" xfId="0" applyFill="1" applyBorder="1" applyAlignment="1">
      <alignment horizontal="left"/>
    </xf>
    <xf numFmtId="165" fontId="27" fillId="0" borderId="0" xfId="42" applyNumberFormat="1" applyFont="1" applyFill="1" applyAlignment="1">
      <alignment/>
    </xf>
    <xf numFmtId="165" fontId="28" fillId="0" borderId="0" xfId="42" applyNumberFormat="1" applyFont="1" applyFill="1" applyAlignment="1">
      <alignment/>
    </xf>
    <xf numFmtId="165" fontId="7" fillId="0" borderId="0" xfId="42" applyNumberFormat="1" applyFont="1" applyAlignment="1">
      <alignment/>
    </xf>
    <xf numFmtId="165" fontId="6" fillId="0" borderId="0" xfId="42" applyNumberFormat="1" applyFont="1" applyAlignment="1">
      <alignment/>
    </xf>
    <xf numFmtId="165" fontId="7" fillId="0" borderId="19" xfId="42" applyNumberFormat="1" applyFont="1" applyFill="1" applyBorder="1" applyAlignment="1">
      <alignment/>
    </xf>
    <xf numFmtId="165" fontId="7" fillId="0" borderId="20" xfId="42" applyNumberFormat="1" applyFont="1" applyFill="1" applyBorder="1" applyAlignment="1">
      <alignment/>
    </xf>
    <xf numFmtId="165" fontId="7" fillId="0" borderId="21" xfId="42" applyNumberFormat="1" applyFont="1" applyBorder="1" applyAlignment="1">
      <alignment/>
    </xf>
    <xf numFmtId="165" fontId="6" fillId="0" borderId="0" xfId="42" applyNumberFormat="1" applyFont="1" applyFill="1" applyAlignment="1">
      <alignment/>
    </xf>
    <xf numFmtId="165" fontId="7" fillId="0" borderId="22" xfId="42" applyNumberFormat="1" applyFont="1" applyBorder="1" applyAlignment="1">
      <alignment/>
    </xf>
    <xf numFmtId="165" fontId="7" fillId="0" borderId="0" xfId="42" applyNumberFormat="1" applyFont="1" applyBorder="1" applyAlignment="1">
      <alignment/>
    </xf>
    <xf numFmtId="165" fontId="6" fillId="0" borderId="0" xfId="42" applyNumberFormat="1" applyFont="1" applyBorder="1" applyAlignment="1">
      <alignment/>
    </xf>
    <xf numFmtId="3" fontId="7" fillId="0" borderId="20" xfId="42" applyNumberFormat="1" applyFont="1" applyFill="1" applyBorder="1" applyAlignment="1">
      <alignment/>
    </xf>
    <xf numFmtId="173" fontId="6" fillId="0" borderId="0" xfId="44" applyNumberFormat="1" applyFont="1" applyBorder="1" applyAlignment="1">
      <alignment/>
    </xf>
    <xf numFmtId="165" fontId="6" fillId="0" borderId="0" xfId="42" applyNumberFormat="1" applyFont="1" applyFill="1" applyBorder="1" applyAlignment="1">
      <alignment/>
    </xf>
    <xf numFmtId="165" fontId="0" fillId="0" borderId="16" xfId="42" applyNumberFormat="1" applyFont="1" applyBorder="1" applyAlignment="1">
      <alignment/>
    </xf>
    <xf numFmtId="165" fontId="30" fillId="0" borderId="23" xfId="42" applyNumberFormat="1" applyFont="1" applyBorder="1" applyAlignment="1">
      <alignment/>
    </xf>
    <xf numFmtId="165" fontId="0" fillId="0" borderId="0" xfId="42" applyNumberFormat="1" applyFont="1" applyFill="1" applyBorder="1" applyAlignment="1">
      <alignment/>
    </xf>
    <xf numFmtId="165" fontId="30" fillId="0" borderId="0" xfId="42" applyNumberFormat="1" applyFont="1" applyBorder="1" applyAlignment="1">
      <alignment/>
    </xf>
    <xf numFmtId="165" fontId="31" fillId="0" borderId="0" xfId="42" applyNumberFormat="1" applyFont="1" applyFill="1" applyBorder="1" applyAlignment="1">
      <alignment/>
    </xf>
    <xf numFmtId="165" fontId="6" fillId="0" borderId="16" xfId="42" applyNumberFormat="1" applyFont="1" applyBorder="1" applyAlignment="1">
      <alignment/>
    </xf>
    <xf numFmtId="165" fontId="6" fillId="0" borderId="14" xfId="42" applyNumberFormat="1" applyFont="1" applyBorder="1" applyAlignment="1">
      <alignment/>
    </xf>
    <xf numFmtId="165" fontId="32" fillId="0" borderId="24" xfId="42" applyNumberFormat="1" applyFont="1" applyBorder="1" applyAlignment="1">
      <alignment/>
    </xf>
    <xf numFmtId="10" fontId="32" fillId="0" borderId="23" xfId="42" applyNumberFormat="1" applyFont="1" applyBorder="1" applyAlignment="1">
      <alignment/>
    </xf>
    <xf numFmtId="3" fontId="7" fillId="0" borderId="22" xfId="42" applyNumberFormat="1" applyFont="1" applyBorder="1" applyAlignment="1">
      <alignment/>
    </xf>
    <xf numFmtId="165" fontId="30" fillId="0" borderId="0" xfId="42" applyNumberFormat="1" applyFont="1" applyFill="1" applyBorder="1" applyAlignment="1">
      <alignment/>
    </xf>
    <xf numFmtId="10" fontId="0" fillId="0" borderId="0" xfId="42" applyNumberFormat="1" applyFont="1" applyBorder="1" applyAlignment="1">
      <alignment/>
    </xf>
    <xf numFmtId="0" fontId="35" fillId="0" borderId="14" xfId="0" applyFont="1" applyFill="1" applyBorder="1" applyAlignment="1">
      <alignment horizontal="center"/>
    </xf>
    <xf numFmtId="0" fontId="35" fillId="0" borderId="0" xfId="0" applyFont="1" applyFill="1" applyBorder="1" applyAlignment="1">
      <alignment horizontal="center"/>
    </xf>
    <xf numFmtId="3" fontId="35" fillId="0" borderId="0" xfId="0" applyNumberFormat="1" applyFont="1" applyFill="1" applyBorder="1" applyAlignment="1">
      <alignment horizontal="center"/>
    </xf>
    <xf numFmtId="4" fontId="35" fillId="0" borderId="0" xfId="0" applyNumberFormat="1" applyFont="1" applyFill="1" applyBorder="1" applyAlignment="1">
      <alignment horizontal="center"/>
    </xf>
    <xf numFmtId="4" fontId="35" fillId="0" borderId="24" xfId="0" applyNumberFormat="1" applyFont="1" applyFill="1" applyBorder="1" applyAlignment="1">
      <alignment horizontal="center"/>
    </xf>
    <xf numFmtId="0" fontId="0" fillId="0" borderId="14" xfId="0"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4" fontId="0" fillId="0" borderId="0" xfId="0" applyNumberFormat="1" applyFill="1" applyBorder="1" applyAlignment="1">
      <alignment/>
    </xf>
    <xf numFmtId="4" fontId="0" fillId="0" borderId="24" xfId="0" applyNumberFormat="1" applyBorder="1" applyAlignment="1">
      <alignment/>
    </xf>
    <xf numFmtId="0" fontId="0" fillId="0" borderId="16" xfId="0" applyFill="1" applyBorder="1" applyAlignment="1">
      <alignment/>
    </xf>
    <xf numFmtId="0" fontId="0" fillId="0" borderId="15" xfId="0" applyFill="1" applyBorder="1" applyAlignment="1">
      <alignment/>
    </xf>
    <xf numFmtId="3" fontId="0" fillId="0" borderId="15" xfId="0" applyNumberFormat="1" applyFill="1" applyBorder="1" applyAlignment="1">
      <alignment/>
    </xf>
    <xf numFmtId="4" fontId="0" fillId="0" borderId="15" xfId="0" applyNumberFormat="1" applyFill="1" applyBorder="1" applyAlignment="1">
      <alignment/>
    </xf>
    <xf numFmtId="4" fontId="0" fillId="0" borderId="23" xfId="0" applyNumberFormat="1" applyFill="1" applyBorder="1" applyAlignment="1">
      <alignment/>
    </xf>
    <xf numFmtId="165" fontId="10" fillId="0" borderId="14" xfId="42" applyNumberFormat="1" applyFont="1" applyBorder="1" applyAlignment="1">
      <alignment/>
    </xf>
    <xf numFmtId="174" fontId="32" fillId="0" borderId="24" xfId="42" applyNumberFormat="1" applyFont="1" applyBorder="1" applyAlignment="1">
      <alignment/>
    </xf>
    <xf numFmtId="175" fontId="32" fillId="0" borderId="23" xfId="42" applyNumberFormat="1" applyFont="1" applyBorder="1" applyAlignment="1">
      <alignment/>
    </xf>
    <xf numFmtId="167" fontId="0" fillId="0" borderId="0" xfId="42" applyNumberFormat="1" applyFont="1" applyBorder="1" applyAlignment="1">
      <alignment/>
    </xf>
    <xf numFmtId="165" fontId="29" fillId="0" borderId="25" xfId="42" applyNumberFormat="1" applyFont="1" applyFill="1" applyBorder="1" applyAlignment="1">
      <alignment/>
    </xf>
    <xf numFmtId="165" fontId="0" fillId="0" borderId="25" xfId="42" applyNumberFormat="1" applyFont="1" applyFill="1" applyBorder="1" applyAlignment="1">
      <alignment/>
    </xf>
    <xf numFmtId="165" fontId="0" fillId="0" borderId="0" xfId="42" applyNumberFormat="1" applyFont="1" applyFill="1" applyAlignment="1">
      <alignment/>
    </xf>
    <xf numFmtId="169" fontId="0" fillId="0" borderId="0" xfId="58" applyNumberFormat="1" applyFont="1" applyAlignment="1">
      <alignment/>
    </xf>
    <xf numFmtId="170" fontId="0" fillId="0" borderId="0" xfId="58" applyNumberFormat="1" applyFont="1" applyAlignment="1">
      <alignment/>
    </xf>
    <xf numFmtId="170" fontId="0" fillId="0" borderId="0" xfId="0" applyNumberFormat="1" applyAlignment="1">
      <alignment/>
    </xf>
    <xf numFmtId="0" fontId="38" fillId="23" borderId="26" xfId="0" applyFont="1" applyFill="1" applyBorder="1" applyAlignment="1">
      <alignment horizontal="center" wrapText="1"/>
    </xf>
    <xf numFmtId="0" fontId="37" fillId="23" borderId="26" xfId="0" applyFont="1" applyFill="1" applyBorder="1" applyAlignment="1">
      <alignment wrapText="1"/>
    </xf>
    <xf numFmtId="0" fontId="37" fillId="0" borderId="0" xfId="0" applyFont="1" applyFill="1" applyBorder="1" applyAlignment="1">
      <alignment/>
    </xf>
    <xf numFmtId="0" fontId="38" fillId="0" borderId="0" xfId="0" applyFont="1" applyFill="1" applyBorder="1" applyAlignment="1">
      <alignment wrapText="1"/>
    </xf>
    <xf numFmtId="176" fontId="0" fillId="0" borderId="0" xfId="0" applyNumberFormat="1" applyAlignment="1">
      <alignment/>
    </xf>
    <xf numFmtId="10" fontId="0" fillId="0" borderId="0" xfId="58" applyNumberFormat="1" applyFont="1" applyAlignment="1">
      <alignment/>
    </xf>
    <xf numFmtId="9" fontId="0" fillId="0" borderId="0" xfId="0" applyNumberFormat="1" applyFont="1" applyAlignment="1">
      <alignment/>
    </xf>
    <xf numFmtId="169" fontId="0" fillId="0" borderId="0" xfId="0" applyNumberFormat="1" applyAlignment="1">
      <alignment/>
    </xf>
    <xf numFmtId="169" fontId="3" fillId="0" borderId="0" xfId="0" applyNumberFormat="1" applyFont="1" applyAlignment="1">
      <alignment/>
    </xf>
    <xf numFmtId="0" fontId="35" fillId="0" borderId="0" xfId="0" applyFont="1" applyAlignment="1">
      <alignment/>
    </xf>
    <xf numFmtId="3" fontId="7" fillId="0" borderId="0" xfId="42" applyNumberFormat="1" applyFont="1" applyFill="1" applyBorder="1" applyAlignment="1">
      <alignment/>
    </xf>
    <xf numFmtId="0" fontId="0" fillId="4" borderId="0" xfId="0" applyFill="1" applyAlignment="1">
      <alignment/>
    </xf>
    <xf numFmtId="10" fontId="3" fillId="24" borderId="0" xfId="58" applyNumberFormat="1" applyFont="1" applyFill="1" applyAlignment="1">
      <alignment/>
    </xf>
    <xf numFmtId="165" fontId="0" fillId="0" borderId="0" xfId="0" applyNumberFormat="1" applyFill="1" applyAlignment="1">
      <alignment/>
    </xf>
    <xf numFmtId="3" fontId="6" fillId="0" borderId="0" xfId="42" applyNumberFormat="1" applyFont="1" applyFill="1" applyBorder="1" applyAlignment="1">
      <alignment/>
    </xf>
    <xf numFmtId="165" fontId="41" fillId="0" borderId="0" xfId="42" applyNumberFormat="1" applyFont="1" applyFill="1" applyAlignment="1">
      <alignment/>
    </xf>
    <xf numFmtId="170" fontId="3" fillId="0" borderId="0" xfId="58" applyNumberFormat="1" applyFont="1" applyFill="1" applyAlignment="1">
      <alignment/>
    </xf>
    <xf numFmtId="165" fontId="6" fillId="0" borderId="0" xfId="42" applyNumberFormat="1" applyFont="1" applyFill="1" applyAlignment="1" quotePrefix="1">
      <alignment/>
    </xf>
    <xf numFmtId="165" fontId="30" fillId="0" borderId="23" xfId="42" applyNumberFormat="1" applyFont="1" applyFill="1" applyBorder="1" applyAlignment="1">
      <alignment/>
    </xf>
    <xf numFmtId="165" fontId="32" fillId="0" borderId="24" xfId="42" applyNumberFormat="1" applyFont="1" applyFill="1" applyBorder="1" applyAlignment="1">
      <alignment/>
    </xf>
    <xf numFmtId="165" fontId="6" fillId="0" borderId="0" xfId="42" applyNumberFormat="1" applyFont="1" applyFill="1" applyAlignment="1">
      <alignment horizontal="right"/>
    </xf>
    <xf numFmtId="165" fontId="7" fillId="0" borderId="25" xfId="42" applyNumberFormat="1" applyFont="1" applyFill="1" applyBorder="1" applyAlignment="1">
      <alignment/>
    </xf>
    <xf numFmtId="10" fontId="0" fillId="4" borderId="0" xfId="0" applyNumberFormat="1" applyFill="1" applyAlignment="1">
      <alignment/>
    </xf>
    <xf numFmtId="10" fontId="3" fillId="4" borderId="0" xfId="0" applyNumberFormat="1" applyFont="1" applyFill="1" applyAlignment="1">
      <alignment/>
    </xf>
    <xf numFmtId="0" fontId="40" fillId="24" borderId="0" xfId="0" applyFont="1" applyFill="1" applyAlignment="1">
      <alignment/>
    </xf>
    <xf numFmtId="0" fontId="0" fillId="0" borderId="0" xfId="0" applyFill="1" applyAlignment="1">
      <alignment horizontal="center" vertical="top" wrapText="1"/>
    </xf>
    <xf numFmtId="0" fontId="0" fillId="0" borderId="0" xfId="0" applyAlignment="1">
      <alignment horizontal="left"/>
    </xf>
    <xf numFmtId="170" fontId="0" fillId="0" borderId="0" xfId="58" applyNumberFormat="1" applyFont="1" applyFill="1" applyAlignment="1">
      <alignment/>
    </xf>
    <xf numFmtId="165" fontId="7" fillId="0" borderId="0" xfId="42" applyNumberFormat="1" applyFont="1" applyFill="1" applyAlignment="1">
      <alignment/>
    </xf>
    <xf numFmtId="10" fontId="3" fillId="0" borderId="0" xfId="58" applyNumberFormat="1" applyFont="1" applyFill="1" applyAlignment="1">
      <alignment/>
    </xf>
    <xf numFmtId="169" fontId="6" fillId="0" borderId="0" xfId="58" applyNumberFormat="1" applyFont="1" applyFill="1" applyAlignment="1">
      <alignment/>
    </xf>
    <xf numFmtId="0" fontId="0" fillId="0" borderId="0" xfId="0" applyFont="1" applyFill="1" applyAlignment="1">
      <alignment/>
    </xf>
    <xf numFmtId="10" fontId="7" fillId="24" borderId="0" xfId="58" applyNumberFormat="1" applyFont="1" applyFill="1" applyAlignment="1">
      <alignment/>
    </xf>
    <xf numFmtId="10" fontId="7" fillId="0" borderId="0" xfId="58" applyNumberFormat="1" applyFont="1" applyFill="1" applyAlignment="1">
      <alignment/>
    </xf>
    <xf numFmtId="9" fontId="3" fillId="0" borderId="0" xfId="58" applyFont="1" applyFill="1" applyAlignment="1">
      <alignment/>
    </xf>
    <xf numFmtId="10" fontId="0" fillId="0" borderId="0" xfId="58" applyNumberFormat="1" applyFont="1" applyFill="1" applyAlignment="1">
      <alignment/>
    </xf>
    <xf numFmtId="0" fontId="3" fillId="20" borderId="11" xfId="0" applyFont="1" applyFill="1" applyBorder="1" applyAlignment="1">
      <alignment horizontal="center"/>
    </xf>
    <xf numFmtId="1" fontId="3" fillId="0" borderId="11" xfId="0" applyNumberFormat="1" applyFont="1" applyBorder="1" applyAlignment="1">
      <alignment/>
    </xf>
    <xf numFmtId="164" fontId="3" fillId="0" borderId="11" xfId="0" applyNumberFormat="1" applyFont="1" applyBorder="1" applyAlignment="1">
      <alignment/>
    </xf>
    <xf numFmtId="1" fontId="3" fillId="0" borderId="11" xfId="0" applyNumberFormat="1" applyFont="1" applyFill="1" applyBorder="1" applyAlignment="1">
      <alignment/>
    </xf>
    <xf numFmtId="0" fontId="3" fillId="0" borderId="11" xfId="0" applyFont="1" applyFill="1" applyBorder="1" applyAlignment="1">
      <alignment/>
    </xf>
    <xf numFmtId="9" fontId="3" fillId="0" borderId="11" xfId="0" applyNumberFormat="1" applyFont="1" applyFill="1" applyBorder="1" applyAlignment="1">
      <alignment/>
    </xf>
    <xf numFmtId="165" fontId="21" fillId="0" borderId="0" xfId="42" applyNumberFormat="1" applyFont="1" applyFill="1" applyAlignment="1">
      <alignment/>
    </xf>
    <xf numFmtId="165" fontId="1" fillId="0" borderId="0" xfId="42" applyNumberFormat="1" applyFont="1" applyFill="1" applyAlignment="1">
      <alignment/>
    </xf>
    <xf numFmtId="167" fontId="1" fillId="0" borderId="0" xfId="42" applyNumberFormat="1" applyFont="1" applyFill="1" applyAlignment="1">
      <alignment/>
    </xf>
    <xf numFmtId="165" fontId="25" fillId="0" borderId="0" xfId="42" applyNumberFormat="1" applyFont="1" applyFill="1" applyAlignment="1">
      <alignment/>
    </xf>
    <xf numFmtId="166" fontId="1" fillId="0" borderId="0" xfId="42" applyNumberFormat="1" applyFont="1" applyFill="1" applyAlignment="1">
      <alignment/>
    </xf>
    <xf numFmtId="164" fontId="24" fillId="0" borderId="0" xfId="42" applyNumberFormat="1" applyFont="1" applyFill="1" applyAlignment="1">
      <alignment/>
    </xf>
    <xf numFmtId="165" fontId="20" fillId="0" borderId="0" xfId="42" applyNumberFormat="1" applyFont="1" applyFill="1" applyAlignment="1">
      <alignment/>
    </xf>
    <xf numFmtId="165" fontId="20" fillId="0" borderId="15" xfId="42" applyNumberFormat="1" applyFont="1" applyFill="1" applyBorder="1" applyAlignment="1">
      <alignment horizontal="center"/>
    </xf>
    <xf numFmtId="165" fontId="1" fillId="0" borderId="0" xfId="42" applyNumberFormat="1" applyFont="1" applyFill="1" applyAlignment="1">
      <alignment horizontal="left" indent="2"/>
    </xf>
    <xf numFmtId="10" fontId="1" fillId="0" borderId="0" xfId="42" applyNumberFormat="1" applyFont="1" applyFill="1" applyAlignment="1">
      <alignment/>
    </xf>
    <xf numFmtId="10" fontId="19" fillId="0" borderId="0" xfId="42" applyNumberFormat="1" applyFont="1" applyFill="1" applyAlignment="1">
      <alignment/>
    </xf>
    <xf numFmtId="165" fontId="20" fillId="0" borderId="0" xfId="42" applyNumberFormat="1" applyFont="1" applyFill="1" applyAlignment="1">
      <alignment horizontal="left" indent="2"/>
    </xf>
    <xf numFmtId="43" fontId="1" fillId="0" borderId="0" xfId="42" applyNumberFormat="1" applyFont="1" applyFill="1" applyAlignment="1">
      <alignment/>
    </xf>
    <xf numFmtId="165" fontId="1" fillId="0" borderId="0" xfId="42" applyNumberFormat="1" applyFont="1" applyFill="1" applyAlignment="1">
      <alignment horizontal="left" indent="4"/>
    </xf>
    <xf numFmtId="165" fontId="20" fillId="0" borderId="0" xfId="42" applyNumberFormat="1" applyFont="1" applyFill="1" applyAlignment="1">
      <alignment horizontal="left" indent="5"/>
    </xf>
    <xf numFmtId="164" fontId="20" fillId="0" borderId="0" xfId="58" applyNumberFormat="1" applyFont="1" applyFill="1" applyAlignment="1">
      <alignment/>
    </xf>
    <xf numFmtId="165" fontId="1" fillId="0" borderId="0" xfId="42" applyNumberFormat="1" applyFont="1" applyFill="1" applyAlignment="1">
      <alignment horizontal="left" indent="5"/>
    </xf>
    <xf numFmtId="164" fontId="1" fillId="0" borderId="0" xfId="42" applyNumberFormat="1" applyFont="1" applyFill="1" applyAlignment="1">
      <alignment/>
    </xf>
    <xf numFmtId="165" fontId="22" fillId="0" borderId="0" xfId="42" applyNumberFormat="1" applyFont="1" applyFill="1" applyAlignment="1">
      <alignment horizontal="left" indent="2"/>
    </xf>
    <xf numFmtId="9" fontId="20" fillId="0" borderId="0" xfId="58" applyFont="1" applyFill="1" applyAlignment="1">
      <alignment/>
    </xf>
    <xf numFmtId="169" fontId="1" fillId="0" borderId="0" xfId="58" applyNumberFormat="1" applyFont="1" applyFill="1" applyAlignment="1">
      <alignment/>
    </xf>
    <xf numFmtId="169" fontId="1" fillId="0" borderId="15" xfId="58" applyNumberFormat="1" applyFont="1" applyFill="1" applyBorder="1" applyAlignment="1">
      <alignment/>
    </xf>
    <xf numFmtId="165" fontId="1" fillId="0" borderId="27" xfId="42" applyNumberFormat="1" applyFont="1" applyBorder="1" applyAlignment="1">
      <alignment wrapText="1"/>
    </xf>
    <xf numFmtId="165" fontId="1" fillId="0" borderId="27" xfId="42" applyNumberFormat="1" applyFont="1" applyFill="1" applyBorder="1" applyAlignment="1">
      <alignment wrapText="1"/>
    </xf>
    <xf numFmtId="165" fontId="1" fillId="0" borderId="27" xfId="42" applyNumberFormat="1" applyFont="1" applyBorder="1" applyAlignment="1">
      <alignment horizontal="left" wrapText="1"/>
    </xf>
    <xf numFmtId="43" fontId="1" fillId="0" borderId="0" xfId="42" applyNumberFormat="1" applyFont="1" applyBorder="1" applyAlignment="1">
      <alignment/>
    </xf>
    <xf numFmtId="166" fontId="1" fillId="0" borderId="0" xfId="42" applyNumberFormat="1" applyFont="1" applyBorder="1" applyAlignment="1">
      <alignment/>
    </xf>
    <xf numFmtId="165" fontId="23" fillId="0" borderId="0" xfId="42" applyNumberFormat="1" applyFont="1" applyBorder="1" applyAlignment="1">
      <alignment/>
    </xf>
    <xf numFmtId="43" fontId="1" fillId="0" borderId="15" xfId="42" applyNumberFormat="1" applyFont="1" applyBorder="1" applyAlignment="1">
      <alignment/>
    </xf>
    <xf numFmtId="0" fontId="15" fillId="0" borderId="0" xfId="0" applyFont="1" applyBorder="1" applyAlignment="1">
      <alignment horizontal="right"/>
    </xf>
    <xf numFmtId="164" fontId="0" fillId="0" borderId="0" xfId="0" applyNumberFormat="1" applyFont="1" applyAlignment="1">
      <alignment horizontal="center"/>
    </xf>
    <xf numFmtId="9" fontId="0" fillId="0" borderId="0" xfId="58" applyNumberFormat="1" applyFont="1" applyAlignment="1">
      <alignment/>
    </xf>
    <xf numFmtId="9" fontId="0" fillId="0" borderId="0" xfId="0" applyNumberFormat="1" applyAlignment="1">
      <alignment wrapText="1"/>
    </xf>
    <xf numFmtId="0" fontId="3" fillId="0" borderId="0" xfId="0" applyFont="1" applyBorder="1" applyAlignment="1">
      <alignment vertical="top" wrapText="1"/>
    </xf>
    <xf numFmtId="2" fontId="3" fillId="0" borderId="0" xfId="0" applyNumberFormat="1" applyFont="1" applyBorder="1" applyAlignment="1">
      <alignment vertical="top" wrapText="1"/>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24" borderId="0" xfId="0" applyFont="1" applyFill="1" applyAlignment="1">
      <alignment wrapText="1"/>
    </xf>
    <xf numFmtId="0" fontId="0" fillId="25" borderId="11" xfId="0" applyFill="1" applyBorder="1" applyAlignment="1">
      <alignment wrapText="1"/>
    </xf>
    <xf numFmtId="164" fontId="0" fillId="25" borderId="11" xfId="58" applyNumberFormat="1" applyFont="1" applyFill="1" applyBorder="1" applyAlignment="1">
      <alignment/>
    </xf>
    <xf numFmtId="0" fontId="0" fillId="7" borderId="11" xfId="0" applyFont="1" applyFill="1" applyBorder="1" applyAlignment="1">
      <alignment vertical="top" wrapText="1"/>
    </xf>
    <xf numFmtId="10" fontId="0" fillId="7" borderId="11" xfId="58" applyNumberFormat="1" applyFont="1" applyFill="1" applyBorder="1" applyAlignment="1">
      <alignment vertical="top" wrapText="1"/>
    </xf>
    <xf numFmtId="0" fontId="0" fillId="25" borderId="11" xfId="0" applyFont="1" applyFill="1" applyBorder="1" applyAlignment="1">
      <alignment vertical="top" wrapText="1"/>
    </xf>
    <xf numFmtId="10" fontId="0" fillId="25" borderId="11" xfId="58" applyNumberFormat="1" applyFont="1" applyFill="1" applyBorder="1" applyAlignment="1">
      <alignment vertical="top" wrapText="1"/>
    </xf>
    <xf numFmtId="9" fontId="3" fillId="0" borderId="0" xfId="58" applyNumberFormat="1" applyFont="1" applyBorder="1" applyAlignment="1">
      <alignment vertical="top" wrapText="1"/>
    </xf>
    <xf numFmtId="0" fontId="0" fillId="0" borderId="0" xfId="0" applyFill="1" applyBorder="1" applyAlignment="1">
      <alignment/>
    </xf>
    <xf numFmtId="164" fontId="0" fillId="0" borderId="0" xfId="58" applyNumberFormat="1" applyFont="1" applyFill="1" applyBorder="1" applyAlignment="1">
      <alignment/>
    </xf>
    <xf numFmtId="10" fontId="0" fillId="0" borderId="0" xfId="58" applyNumberFormat="1" applyFont="1" applyFill="1" applyBorder="1" applyAlignment="1">
      <alignment/>
    </xf>
    <xf numFmtId="165" fontId="7" fillId="24" borderId="0" xfId="42" applyNumberFormat="1" applyFont="1" applyFill="1" applyAlignment="1">
      <alignment/>
    </xf>
    <xf numFmtId="0" fontId="3" fillId="7" borderId="0" xfId="0" applyFont="1" applyFill="1" applyAlignment="1">
      <alignment/>
    </xf>
    <xf numFmtId="164" fontId="3" fillId="7" borderId="0" xfId="0" applyNumberFormat="1" applyFont="1" applyFill="1" applyAlignment="1">
      <alignment/>
    </xf>
    <xf numFmtId="0" fontId="3" fillId="25" borderId="0" xfId="0" applyFont="1" applyFill="1" applyAlignment="1">
      <alignment/>
    </xf>
    <xf numFmtId="164" fontId="3" fillId="25" borderId="0" xfId="0" applyNumberFormat="1" applyFont="1" applyFill="1" applyAlignment="1">
      <alignment/>
    </xf>
    <xf numFmtId="164" fontId="0" fillId="0" borderId="0" xfId="58" applyNumberFormat="1" applyFont="1" applyFill="1" applyAlignment="1">
      <alignment/>
    </xf>
    <xf numFmtId="0" fontId="0" fillId="0" borderId="0" xfId="0" applyFont="1" applyAlignment="1">
      <alignment/>
    </xf>
    <xf numFmtId="165" fontId="0" fillId="0" borderId="28" xfId="0" applyNumberFormat="1" applyFill="1" applyBorder="1" applyAlignment="1">
      <alignment/>
    </xf>
    <xf numFmtId="9" fontId="0" fillId="0" borderId="0" xfId="0" applyNumberFormat="1" applyFill="1" applyBorder="1" applyAlignment="1">
      <alignment/>
    </xf>
    <xf numFmtId="165" fontId="0" fillId="0" borderId="24" xfId="0" applyNumberFormat="1" applyFill="1" applyBorder="1" applyAlignment="1">
      <alignment/>
    </xf>
    <xf numFmtId="9" fontId="0" fillId="0" borderId="28" xfId="58" applyFont="1" applyFill="1" applyBorder="1" applyAlignment="1">
      <alignment/>
    </xf>
    <xf numFmtId="9" fontId="0" fillId="0" borderId="24" xfId="58" applyFont="1" applyFill="1" applyBorder="1" applyAlignment="1">
      <alignment/>
    </xf>
    <xf numFmtId="42" fontId="0" fillId="0" borderId="0" xfId="44" applyNumberFormat="1" applyFont="1" applyAlignment="1">
      <alignment/>
    </xf>
    <xf numFmtId="0" fontId="46" fillId="4" borderId="11" xfId="0" applyFont="1" applyFill="1" applyBorder="1" applyAlignment="1">
      <alignment/>
    </xf>
    <xf numFmtId="0" fontId="0" fillId="4" borderId="11" xfId="0" applyFont="1" applyFill="1" applyBorder="1" applyAlignment="1">
      <alignment/>
    </xf>
    <xf numFmtId="0" fontId="46" fillId="4" borderId="11" xfId="0" applyFont="1" applyFill="1" applyBorder="1" applyAlignment="1">
      <alignment wrapText="1"/>
    </xf>
    <xf numFmtId="42" fontId="47" fillId="11" borderId="0" xfId="0" applyNumberFormat="1" applyFont="1" applyFill="1" applyAlignment="1">
      <alignment/>
    </xf>
    <xf numFmtId="164" fontId="5" fillId="0" borderId="0" xfId="0" applyNumberFormat="1" applyFont="1" applyFill="1" applyAlignment="1">
      <alignment/>
    </xf>
    <xf numFmtId="0" fontId="0" fillId="6" borderId="0" xfId="0" applyFill="1" applyAlignment="1">
      <alignment/>
    </xf>
    <xf numFmtId="0" fontId="3" fillId="6" borderId="0" xfId="0" applyFont="1" applyFill="1" applyAlignment="1">
      <alignment/>
    </xf>
    <xf numFmtId="6" fontId="3" fillId="6" borderId="0" xfId="0" applyNumberFormat="1" applyFont="1" applyFill="1" applyAlignment="1">
      <alignment/>
    </xf>
    <xf numFmtId="172" fontId="1" fillId="0" borderId="0" xfId="42" applyNumberFormat="1" applyFont="1" applyFill="1" applyBorder="1" applyAlignment="1">
      <alignment/>
    </xf>
    <xf numFmtId="164" fontId="3" fillId="15" borderId="11" xfId="0" applyNumberFormat="1" applyFont="1" applyFill="1" applyBorder="1" applyAlignment="1">
      <alignment/>
    </xf>
    <xf numFmtId="165" fontId="0" fillId="0" borderId="28" xfId="42" applyNumberFormat="1" applyFont="1" applyFill="1" applyBorder="1" applyAlignment="1">
      <alignment/>
    </xf>
    <xf numFmtId="165" fontId="0" fillId="0" borderId="24" xfId="42" applyNumberFormat="1" applyFont="1" applyFill="1" applyBorder="1" applyAlignment="1">
      <alignment/>
    </xf>
    <xf numFmtId="165" fontId="0" fillId="0" borderId="23" xfId="42" applyNumberFormat="1" applyFont="1" applyFill="1" applyBorder="1" applyAlignment="1">
      <alignment/>
    </xf>
    <xf numFmtId="0" fontId="48" fillId="0" borderId="29" xfId="0" applyFont="1" applyFill="1" applyBorder="1" applyAlignment="1">
      <alignment horizontal="center"/>
    </xf>
    <xf numFmtId="0" fontId="0" fillId="0" borderId="0" xfId="0" applyFont="1" applyFill="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right"/>
    </xf>
    <xf numFmtId="42" fontId="0" fillId="0" borderId="0" xfId="44" applyNumberFormat="1" applyFont="1" applyFill="1" applyAlignment="1">
      <alignment/>
    </xf>
    <xf numFmtId="0" fontId="0" fillId="0" borderId="30" xfId="0" applyBorder="1" applyAlignment="1">
      <alignment/>
    </xf>
    <xf numFmtId="0" fontId="0" fillId="0" borderId="31" xfId="0" applyBorder="1" applyAlignment="1">
      <alignment/>
    </xf>
    <xf numFmtId="0" fontId="0" fillId="22" borderId="32" xfId="0" applyFill="1" applyBorder="1" applyAlignment="1">
      <alignment/>
    </xf>
    <xf numFmtId="173" fontId="0" fillId="0" borderId="0" xfId="0" applyNumberFormat="1" applyAlignment="1">
      <alignment/>
    </xf>
    <xf numFmtId="173" fontId="0" fillId="22" borderId="33" xfId="44" applyNumberFormat="1" applyFont="1" applyFill="1" applyBorder="1" applyAlignment="1">
      <alignment/>
    </xf>
    <xf numFmtId="0" fontId="0" fillId="6" borderId="0" xfId="0" applyFont="1" applyFill="1" applyAlignment="1">
      <alignment/>
    </xf>
    <xf numFmtId="173" fontId="0" fillId="0" borderId="0" xfId="44" applyNumberFormat="1" applyFont="1" applyFill="1" applyBorder="1" applyAlignment="1">
      <alignment/>
    </xf>
    <xf numFmtId="1" fontId="0" fillId="0" borderId="0" xfId="0" applyNumberFormat="1" applyFill="1" applyBorder="1" applyAlignment="1">
      <alignment/>
    </xf>
    <xf numFmtId="0" fontId="0" fillId="0" borderId="0" xfId="0" applyFont="1" applyBorder="1" applyAlignment="1">
      <alignment/>
    </xf>
    <xf numFmtId="0" fontId="3" fillId="0" borderId="30" xfId="0" applyFont="1" applyBorder="1" applyAlignment="1">
      <alignment/>
    </xf>
    <xf numFmtId="0" fontId="0" fillId="22" borderId="11" xfId="0" applyFill="1" applyBorder="1" applyAlignment="1">
      <alignment horizontal="center" wrapText="1"/>
    </xf>
    <xf numFmtId="0" fontId="0" fillId="22" borderId="33" xfId="0" applyFill="1" applyBorder="1" applyAlignment="1">
      <alignment horizontal="center"/>
    </xf>
    <xf numFmtId="0" fontId="0" fillId="22" borderId="11" xfId="0" applyFont="1" applyFill="1" applyBorder="1" applyAlignment="1">
      <alignment horizontal="center" wrapText="1"/>
    </xf>
    <xf numFmtId="173" fontId="0" fillId="22" borderId="11" xfId="44" applyNumberFormat="1" applyFont="1" applyFill="1" applyBorder="1" applyAlignment="1">
      <alignment/>
    </xf>
    <xf numFmtId="0" fontId="0" fillId="0" borderId="34" xfId="0" applyBorder="1" applyAlignment="1">
      <alignment/>
    </xf>
    <xf numFmtId="0" fontId="0" fillId="22" borderId="32" xfId="0" applyFill="1" applyBorder="1" applyAlignment="1">
      <alignment horizontal="right"/>
    </xf>
    <xf numFmtId="0" fontId="0" fillId="22" borderId="35" xfId="0" applyFill="1" applyBorder="1" applyAlignment="1">
      <alignment horizontal="right"/>
    </xf>
    <xf numFmtId="173" fontId="0" fillId="22" borderId="36" xfId="44" applyNumberFormat="1" applyFont="1" applyFill="1" applyBorder="1" applyAlignment="1">
      <alignment/>
    </xf>
    <xf numFmtId="173" fontId="0" fillId="22" borderId="37" xfId="44" applyNumberFormat="1" applyFont="1" applyFill="1" applyBorder="1" applyAlignment="1">
      <alignment/>
    </xf>
    <xf numFmtId="168" fontId="0" fillId="22" borderId="36" xfId="0" applyNumberFormat="1" applyFill="1" applyBorder="1" applyAlignment="1">
      <alignment/>
    </xf>
    <xf numFmtId="168" fontId="0" fillId="22" borderId="11" xfId="0" applyNumberFormat="1" applyFill="1" applyBorder="1" applyAlignment="1">
      <alignment/>
    </xf>
    <xf numFmtId="165" fontId="1" fillId="0" borderId="0" xfId="42" applyNumberFormat="1" applyFont="1" applyBorder="1" applyAlignment="1">
      <alignment horizontal="left" indent="2"/>
    </xf>
    <xf numFmtId="165" fontId="20" fillId="0" borderId="0" xfId="42" applyNumberFormat="1" applyFont="1" applyFill="1" applyAlignment="1">
      <alignment horizontal="left" indent="1"/>
    </xf>
    <xf numFmtId="165" fontId="1" fillId="0" borderId="30" xfId="42" applyNumberFormat="1" applyFont="1" applyBorder="1" applyAlignment="1">
      <alignment/>
    </xf>
    <xf numFmtId="165" fontId="1" fillId="0" borderId="31" xfId="42" applyNumberFormat="1" applyFont="1" applyBorder="1" applyAlignment="1">
      <alignment/>
    </xf>
    <xf numFmtId="165" fontId="20" fillId="0" borderId="19" xfId="42" applyNumberFormat="1" applyFont="1" applyBorder="1" applyAlignment="1">
      <alignment horizontal="left" indent="1"/>
    </xf>
    <xf numFmtId="165" fontId="1" fillId="0" borderId="20" xfId="42" applyNumberFormat="1" applyFont="1" applyBorder="1" applyAlignment="1">
      <alignment/>
    </xf>
    <xf numFmtId="165" fontId="1" fillId="0" borderId="19" xfId="42" applyNumberFormat="1" applyFont="1" applyBorder="1" applyAlignment="1">
      <alignment horizontal="left" indent="2"/>
    </xf>
    <xf numFmtId="43" fontId="1" fillId="0" borderId="0" xfId="42" applyNumberFormat="1" applyFont="1" applyFill="1" applyBorder="1" applyAlignment="1">
      <alignment/>
    </xf>
    <xf numFmtId="9" fontId="1" fillId="0" borderId="20" xfId="58" applyFont="1" applyBorder="1" applyAlignment="1">
      <alignment horizontal="center"/>
    </xf>
    <xf numFmtId="165" fontId="1" fillId="0" borderId="19" xfId="42" applyNumberFormat="1" applyFont="1" applyBorder="1" applyAlignment="1">
      <alignment horizontal="left" indent="3"/>
    </xf>
    <xf numFmtId="165" fontId="1" fillId="0" borderId="20" xfId="42" applyNumberFormat="1" applyFont="1" applyBorder="1" applyAlignment="1">
      <alignment horizontal="center"/>
    </xf>
    <xf numFmtId="165" fontId="1" fillId="0" borderId="19" xfId="42" applyNumberFormat="1" applyFont="1" applyBorder="1" applyAlignment="1">
      <alignment/>
    </xf>
    <xf numFmtId="2" fontId="1" fillId="0" borderId="0" xfId="58" applyNumberFormat="1" applyFont="1" applyBorder="1" applyAlignment="1">
      <alignment/>
    </xf>
    <xf numFmtId="177" fontId="1" fillId="0" borderId="0" xfId="42" applyNumberFormat="1" applyFont="1" applyBorder="1" applyAlignment="1">
      <alignment/>
    </xf>
    <xf numFmtId="9" fontId="1" fillId="0" borderId="0" xfId="58" applyFont="1" applyFill="1" applyBorder="1" applyAlignment="1">
      <alignment/>
    </xf>
    <xf numFmtId="165" fontId="1" fillId="0" borderId="20" xfId="42" applyNumberFormat="1" applyFont="1" applyFill="1" applyBorder="1" applyAlignment="1">
      <alignment/>
    </xf>
    <xf numFmtId="165" fontId="1" fillId="0" borderId="18" xfId="42" applyNumberFormat="1" applyFont="1" applyBorder="1" applyAlignment="1">
      <alignment/>
    </xf>
    <xf numFmtId="165" fontId="1" fillId="0" borderId="18" xfId="42" applyNumberFormat="1" applyFont="1" applyFill="1" applyBorder="1" applyAlignment="1">
      <alignment/>
    </xf>
    <xf numFmtId="165" fontId="1" fillId="0" borderId="22" xfId="42" applyNumberFormat="1" applyFont="1" applyFill="1" applyBorder="1" applyAlignment="1">
      <alignment/>
    </xf>
    <xf numFmtId="165" fontId="1" fillId="0" borderId="38" xfId="42" applyNumberFormat="1" applyFont="1" applyBorder="1" applyAlignment="1">
      <alignment horizontal="left" wrapText="1"/>
    </xf>
    <xf numFmtId="165" fontId="1" fillId="0" borderId="39" xfId="42" applyNumberFormat="1" applyFont="1" applyBorder="1" applyAlignment="1">
      <alignment horizontal="left" indent="2"/>
    </xf>
    <xf numFmtId="165" fontId="20" fillId="22" borderId="34" xfId="42" applyNumberFormat="1" applyFont="1" applyFill="1" applyBorder="1" applyAlignment="1">
      <alignment/>
    </xf>
    <xf numFmtId="165" fontId="20" fillId="22" borderId="40" xfId="42" applyNumberFormat="1" applyFont="1" applyFill="1" applyBorder="1" applyAlignment="1">
      <alignment/>
    </xf>
    <xf numFmtId="165" fontId="19" fillId="0" borderId="30" xfId="42" applyNumberFormat="1" applyFont="1" applyFill="1" applyBorder="1" applyAlignment="1">
      <alignment/>
    </xf>
    <xf numFmtId="9" fontId="1" fillId="0" borderId="0" xfId="58" applyFont="1" applyBorder="1" applyAlignment="1">
      <alignment/>
    </xf>
    <xf numFmtId="172" fontId="1" fillId="0" borderId="0" xfId="42" applyNumberFormat="1" applyFont="1" applyBorder="1" applyAlignment="1">
      <alignment/>
    </xf>
    <xf numFmtId="165" fontId="1" fillId="0" borderId="0" xfId="58" applyNumberFormat="1" applyFont="1" applyFill="1" applyBorder="1" applyAlignment="1">
      <alignment/>
    </xf>
    <xf numFmtId="165" fontId="1" fillId="0" borderId="22" xfId="42" applyNumberFormat="1" applyFont="1" applyBorder="1" applyAlignment="1">
      <alignment/>
    </xf>
    <xf numFmtId="165" fontId="1" fillId="0" borderId="15" xfId="42" applyNumberFormat="1" applyFont="1" applyBorder="1" applyAlignment="1">
      <alignment wrapText="1"/>
    </xf>
    <xf numFmtId="165" fontId="1" fillId="22" borderId="30" xfId="42" applyNumberFormat="1" applyFont="1" applyFill="1" applyBorder="1" applyAlignment="1">
      <alignment/>
    </xf>
    <xf numFmtId="165" fontId="1" fillId="0" borderId="0" xfId="42" applyNumberFormat="1" applyFont="1" applyBorder="1" applyAlignment="1">
      <alignment wrapText="1"/>
    </xf>
    <xf numFmtId="165" fontId="1" fillId="0" borderId="21" xfId="42" applyNumberFormat="1" applyFont="1" applyBorder="1" applyAlignment="1">
      <alignment horizontal="left" wrapText="1" indent="1"/>
    </xf>
    <xf numFmtId="172" fontId="1" fillId="22" borderId="30" xfId="42" applyNumberFormat="1" applyFont="1" applyFill="1" applyBorder="1" applyAlignment="1">
      <alignment/>
    </xf>
    <xf numFmtId="165" fontId="1" fillId="0" borderId="21" xfId="42" applyNumberFormat="1" applyFont="1" applyBorder="1" applyAlignment="1">
      <alignment horizontal="left" indent="3"/>
    </xf>
    <xf numFmtId="165" fontId="1" fillId="0" borderId="39" xfId="42" applyNumberFormat="1" applyFont="1" applyFill="1" applyBorder="1" applyAlignment="1">
      <alignment horizontal="left" indent="3"/>
    </xf>
    <xf numFmtId="164" fontId="1" fillId="0" borderId="15" xfId="58" applyNumberFormat="1" applyFont="1" applyFill="1" applyBorder="1" applyAlignment="1">
      <alignment/>
    </xf>
    <xf numFmtId="165" fontId="45" fillId="0" borderId="0" xfId="42" applyNumberFormat="1" applyFont="1" applyAlignment="1">
      <alignment/>
    </xf>
    <xf numFmtId="165" fontId="1" fillId="0" borderId="19" xfId="42" applyNumberFormat="1" applyFont="1" applyFill="1" applyBorder="1" applyAlignment="1">
      <alignment/>
    </xf>
    <xf numFmtId="165" fontId="1" fillId="0" borderId="21" xfId="42" applyNumberFormat="1" applyFont="1" applyFill="1" applyBorder="1" applyAlignment="1">
      <alignment horizontal="right"/>
    </xf>
    <xf numFmtId="164" fontId="1" fillId="0" borderId="18" xfId="58" applyNumberFormat="1" applyFont="1" applyFill="1" applyBorder="1" applyAlignment="1">
      <alignment/>
    </xf>
    <xf numFmtId="165" fontId="20" fillId="22" borderId="39" xfId="42" applyNumberFormat="1" applyFont="1" applyFill="1" applyBorder="1" applyAlignment="1">
      <alignment/>
    </xf>
    <xf numFmtId="164" fontId="1" fillId="0" borderId="0" xfId="58" applyNumberFormat="1" applyFont="1" applyFill="1" applyBorder="1" applyAlignment="1">
      <alignment/>
    </xf>
    <xf numFmtId="165" fontId="1" fillId="24" borderId="22" xfId="42" applyNumberFormat="1" applyFont="1" applyFill="1" applyBorder="1" applyAlignment="1">
      <alignment wrapText="1"/>
    </xf>
    <xf numFmtId="165" fontId="49" fillId="24" borderId="0" xfId="42" applyNumberFormat="1" applyFont="1" applyFill="1" applyBorder="1" applyAlignment="1">
      <alignment/>
    </xf>
    <xf numFmtId="165" fontId="45" fillId="24" borderId="18" xfId="42" applyNumberFormat="1" applyFont="1" applyFill="1" applyBorder="1" applyAlignment="1">
      <alignment horizontal="right"/>
    </xf>
    <xf numFmtId="165" fontId="1" fillId="0" borderId="0" xfId="42" applyNumberFormat="1" applyFont="1" applyBorder="1" applyAlignment="1">
      <alignment vertical="center"/>
    </xf>
    <xf numFmtId="165" fontId="1" fillId="0" borderId="0" xfId="42" applyNumberFormat="1" applyFont="1" applyFill="1" applyBorder="1" applyAlignment="1">
      <alignment vertical="center"/>
    </xf>
    <xf numFmtId="165" fontId="20" fillId="22" borderId="30" xfId="42" applyNumberFormat="1" applyFont="1" applyFill="1" applyBorder="1" applyAlignment="1">
      <alignment/>
    </xf>
    <xf numFmtId="165" fontId="20" fillId="22" borderId="34" xfId="42" applyNumberFormat="1" applyFont="1" applyFill="1" applyBorder="1" applyAlignment="1">
      <alignment/>
    </xf>
    <xf numFmtId="165" fontId="1" fillId="0" borderId="19" xfId="42" applyNumberFormat="1" applyFont="1" applyBorder="1" applyAlignment="1">
      <alignment vertical="center"/>
    </xf>
    <xf numFmtId="165" fontId="1" fillId="0" borderId="21" xfId="42" applyNumberFormat="1" applyFont="1" applyBorder="1" applyAlignment="1">
      <alignment/>
    </xf>
    <xf numFmtId="171" fontId="0" fillId="0" borderId="18" xfId="0" applyNumberFormat="1" applyFill="1" applyBorder="1" applyAlignment="1">
      <alignment/>
    </xf>
    <xf numFmtId="165" fontId="1" fillId="0" borderId="0" xfId="42" applyNumberFormat="1" applyFont="1" applyFill="1" applyBorder="1" applyAlignment="1">
      <alignment horizontal="left" indent="1"/>
    </xf>
    <xf numFmtId="165" fontId="1" fillId="0" borderId="0" xfId="42" applyNumberFormat="1" applyFont="1" applyFill="1" applyBorder="1" applyAlignment="1">
      <alignment horizontal="left"/>
    </xf>
    <xf numFmtId="165" fontId="20" fillId="0" borderId="0" xfId="42" applyNumberFormat="1" applyFont="1" applyFill="1" applyBorder="1" applyAlignment="1">
      <alignment/>
    </xf>
    <xf numFmtId="165" fontId="23" fillId="0" borderId="0" xfId="42" applyNumberFormat="1" applyFont="1" applyFill="1" applyBorder="1" applyAlignment="1">
      <alignment horizontal="center"/>
    </xf>
    <xf numFmtId="165" fontId="23" fillId="0" borderId="0" xfId="42" applyNumberFormat="1" applyFont="1" applyFill="1" applyBorder="1" applyAlignment="1">
      <alignment/>
    </xf>
    <xf numFmtId="165" fontId="45" fillId="24" borderId="15" xfId="42" applyNumberFormat="1" applyFont="1" applyFill="1" applyBorder="1" applyAlignment="1">
      <alignment horizontal="right"/>
    </xf>
    <xf numFmtId="165" fontId="45" fillId="24" borderId="27" xfId="42" applyNumberFormat="1" applyFont="1" applyFill="1" applyBorder="1" applyAlignment="1">
      <alignment horizontal="right"/>
    </xf>
    <xf numFmtId="165" fontId="19" fillId="0" borderId="41" xfId="42" applyNumberFormat="1" applyFont="1" applyFill="1" applyBorder="1" applyAlignment="1">
      <alignment horizontal="left" wrapText="1"/>
    </xf>
    <xf numFmtId="10" fontId="19" fillId="0" borderId="20" xfId="42" applyNumberFormat="1" applyFont="1" applyFill="1" applyBorder="1" applyAlignment="1">
      <alignment/>
    </xf>
    <xf numFmtId="10" fontId="19" fillId="0" borderId="42" xfId="42" applyNumberFormat="1" applyFont="1" applyFill="1" applyBorder="1" applyAlignment="1">
      <alignment/>
    </xf>
    <xf numFmtId="10" fontId="20" fillId="24" borderId="42" xfId="58" applyNumberFormat="1" applyFont="1" applyFill="1" applyBorder="1" applyAlignment="1">
      <alignment/>
    </xf>
    <xf numFmtId="10" fontId="20" fillId="24" borderId="41" xfId="58" applyNumberFormat="1" applyFont="1" applyFill="1" applyBorder="1" applyAlignment="1">
      <alignment/>
    </xf>
    <xf numFmtId="10" fontId="45" fillId="24" borderId="22" xfId="58" applyNumberFormat="1" applyFont="1" applyFill="1" applyBorder="1" applyAlignment="1">
      <alignment/>
    </xf>
    <xf numFmtId="165" fontId="20" fillId="0" borderId="39" xfId="42" applyNumberFormat="1" applyFont="1" applyBorder="1" applyAlignment="1">
      <alignment horizontal="left" indent="7"/>
    </xf>
    <xf numFmtId="1" fontId="0" fillId="0" borderId="11" xfId="0" applyNumberFormat="1" applyBorder="1" applyAlignment="1">
      <alignment/>
    </xf>
    <xf numFmtId="42" fontId="0" fillId="0" borderId="11" xfId="44" applyNumberFormat="1" applyFont="1" applyBorder="1" applyAlignment="1">
      <alignment/>
    </xf>
    <xf numFmtId="0" fontId="0" fillId="0" borderId="11" xfId="0" applyFill="1" applyBorder="1" applyAlignment="1">
      <alignment/>
    </xf>
    <xf numFmtId="1" fontId="0" fillId="0" borderId="11" xfId="0" applyNumberFormat="1" applyFill="1" applyBorder="1" applyAlignment="1">
      <alignment/>
    </xf>
    <xf numFmtId="0" fontId="5" fillId="22" borderId="11" xfId="0" applyFont="1" applyFill="1" applyBorder="1" applyAlignment="1">
      <alignment/>
    </xf>
    <xf numFmtId="0" fontId="0" fillId="22" borderId="11" xfId="0" applyFill="1" applyBorder="1" applyAlignment="1">
      <alignment/>
    </xf>
    <xf numFmtId="42" fontId="47" fillId="22" borderId="11" xfId="0" applyNumberFormat="1" applyFont="1" applyFill="1" applyBorder="1" applyAlignment="1">
      <alignment/>
    </xf>
    <xf numFmtId="42" fontId="47" fillId="22" borderId="11" xfId="44" applyNumberFormat="1" applyFont="1" applyFill="1" applyBorder="1" applyAlignment="1">
      <alignment/>
    </xf>
    <xf numFmtId="0" fontId="0" fillId="0" borderId="11" xfId="0" applyBorder="1" applyAlignment="1">
      <alignment wrapText="1"/>
    </xf>
    <xf numFmtId="0" fontId="0" fillId="10" borderId="11" xfId="0" applyFill="1" applyBorder="1" applyAlignment="1">
      <alignment/>
    </xf>
    <xf numFmtId="0" fontId="3" fillId="10" borderId="11" xfId="0" applyFont="1" applyFill="1" applyBorder="1" applyAlignment="1">
      <alignment horizontal="center" wrapText="1"/>
    </xf>
    <xf numFmtId="0" fontId="5" fillId="8" borderId="11" xfId="0" applyFont="1" applyFill="1" applyBorder="1" applyAlignment="1">
      <alignment/>
    </xf>
    <xf numFmtId="0" fontId="0" fillId="8" borderId="11" xfId="0" applyFill="1" applyBorder="1" applyAlignment="1">
      <alignment/>
    </xf>
    <xf numFmtId="42" fontId="47" fillId="8" borderId="11" xfId="0" applyNumberFormat="1" applyFont="1" applyFill="1" applyBorder="1" applyAlignment="1">
      <alignment/>
    </xf>
    <xf numFmtId="0" fontId="15" fillId="22" borderId="11" xfId="0" applyFont="1" applyFill="1" applyBorder="1" applyAlignment="1">
      <alignment/>
    </xf>
    <xf numFmtId="42" fontId="15" fillId="22" borderId="11" xfId="0" applyNumberFormat="1" applyFont="1" applyFill="1" applyBorder="1" applyAlignment="1">
      <alignment/>
    </xf>
    <xf numFmtId="42" fontId="15" fillId="22" borderId="11" xfId="44" applyNumberFormat="1" applyFont="1" applyFill="1" applyBorder="1" applyAlignment="1">
      <alignment/>
    </xf>
    <xf numFmtId="0" fontId="15" fillId="8" borderId="11" xfId="0" applyFont="1" applyFill="1" applyBorder="1" applyAlignment="1">
      <alignment/>
    </xf>
    <xf numFmtId="42" fontId="15" fillId="8" borderId="11" xfId="0" applyNumberFormat="1" applyFont="1" applyFill="1" applyBorder="1" applyAlignment="1">
      <alignment/>
    </xf>
    <xf numFmtId="164" fontId="0" fillId="7" borderId="12" xfId="58" applyNumberFormat="1" applyFont="1" applyFill="1" applyBorder="1" applyAlignment="1">
      <alignment/>
    </xf>
    <xf numFmtId="0" fontId="0" fillId="2" borderId="11" xfId="0" applyFill="1" applyBorder="1" applyAlignment="1">
      <alignment/>
    </xf>
    <xf numFmtId="9" fontId="0" fillId="2" borderId="11" xfId="0" applyNumberFormat="1" applyFill="1" applyBorder="1" applyAlignment="1">
      <alignment/>
    </xf>
    <xf numFmtId="0" fontId="0" fillId="0" borderId="11" xfId="0" applyFont="1" applyFill="1" applyBorder="1" applyAlignment="1">
      <alignment horizontal="right"/>
    </xf>
    <xf numFmtId="9" fontId="0" fillId="0" borderId="11" xfId="0" applyNumberFormat="1" applyFill="1" applyBorder="1" applyAlignment="1">
      <alignment horizontal="right"/>
    </xf>
    <xf numFmtId="3" fontId="5" fillId="22" borderId="11" xfId="0" applyNumberFormat="1" applyFont="1" applyFill="1" applyBorder="1" applyAlignment="1">
      <alignment/>
    </xf>
    <xf numFmtId="3" fontId="0" fillId="0" borderId="11" xfId="0" applyNumberFormat="1" applyBorder="1" applyAlignment="1">
      <alignment/>
    </xf>
    <xf numFmtId="3" fontId="5" fillId="8" borderId="11" xfId="0" applyNumberFormat="1" applyFont="1" applyFill="1" applyBorder="1" applyAlignment="1">
      <alignment/>
    </xf>
    <xf numFmtId="3" fontId="15" fillId="22" borderId="11" xfId="0" applyNumberFormat="1" applyFont="1" applyFill="1" applyBorder="1" applyAlignment="1">
      <alignment/>
    </xf>
    <xf numFmtId="3" fontId="15" fillId="8" borderId="11" xfId="0" applyNumberFormat="1" applyFont="1" applyFill="1" applyBorder="1" applyAlignment="1">
      <alignment/>
    </xf>
    <xf numFmtId="0" fontId="3" fillId="0" borderId="0" xfId="0" applyFont="1" applyFill="1" applyBorder="1" applyAlignment="1">
      <alignment horizontal="center"/>
    </xf>
    <xf numFmtId="164" fontId="3" fillId="0" borderId="0" xfId="0" applyNumberFormat="1" applyFont="1" applyFill="1" applyBorder="1" applyAlignment="1">
      <alignment/>
    </xf>
    <xf numFmtId="164" fontId="0" fillId="0" borderId="0" xfId="42" applyNumberFormat="1" applyFont="1" applyFill="1" applyAlignment="1">
      <alignment/>
    </xf>
    <xf numFmtId="0" fontId="0" fillId="0" borderId="0" xfId="0" applyFill="1" applyAlignment="1">
      <alignment horizontal="center"/>
    </xf>
    <xf numFmtId="165" fontId="0" fillId="0" borderId="0" xfId="42" applyNumberFormat="1" applyFont="1" applyFill="1" applyAlignment="1">
      <alignment horizontal="center"/>
    </xf>
    <xf numFmtId="164" fontId="0" fillId="0" borderId="0" xfId="42" applyNumberFormat="1" applyFont="1" applyFill="1" applyBorder="1" applyAlignment="1">
      <alignment/>
    </xf>
    <xf numFmtId="0" fontId="7" fillId="0" borderId="0" xfId="0" applyFont="1" applyFill="1" applyAlignment="1">
      <alignment/>
    </xf>
    <xf numFmtId="165" fontId="0" fillId="0" borderId="11" xfId="42" applyNumberFormat="1" applyFont="1" applyFill="1" applyBorder="1" applyAlignment="1">
      <alignment/>
    </xf>
    <xf numFmtId="0" fontId="3" fillId="0" borderId="11" xfId="0" applyFont="1" applyBorder="1" applyAlignment="1">
      <alignment/>
    </xf>
    <xf numFmtId="9" fontId="0" fillId="0" borderId="11" xfId="0" applyNumberFormat="1" applyFill="1" applyBorder="1" applyAlignment="1">
      <alignment/>
    </xf>
    <xf numFmtId="165" fontId="0" fillId="0" borderId="11" xfId="0" applyNumberFormat="1" applyFill="1" applyBorder="1" applyAlignment="1">
      <alignment/>
    </xf>
    <xf numFmtId="9" fontId="0" fillId="0" borderId="11" xfId="58" applyFont="1" applyFill="1" applyBorder="1" applyAlignment="1">
      <alignment/>
    </xf>
    <xf numFmtId="0" fontId="3" fillId="23" borderId="11" xfId="0" applyFont="1" applyFill="1" applyBorder="1" applyAlignment="1">
      <alignment/>
    </xf>
    <xf numFmtId="0" fontId="0" fillId="23" borderId="11" xfId="0" applyFill="1" applyBorder="1" applyAlignment="1">
      <alignment wrapText="1"/>
    </xf>
    <xf numFmtId="0" fontId="3" fillId="4" borderId="11" xfId="0" applyFont="1" applyFill="1" applyBorder="1" applyAlignment="1">
      <alignment/>
    </xf>
    <xf numFmtId="165" fontId="0" fillId="4" borderId="11" xfId="42" applyNumberFormat="1" applyFont="1" applyFill="1" applyBorder="1" applyAlignment="1">
      <alignment/>
    </xf>
    <xf numFmtId="2" fontId="0" fillId="4" borderId="11" xfId="42" applyNumberFormat="1" applyFont="1" applyFill="1" applyBorder="1" applyAlignment="1">
      <alignment/>
    </xf>
    <xf numFmtId="9" fontId="0" fillId="4" borderId="11" xfId="0" applyNumberFormat="1" applyFill="1" applyBorder="1" applyAlignment="1">
      <alignment/>
    </xf>
    <xf numFmtId="0" fontId="3" fillId="6" borderId="11" xfId="0" applyFont="1" applyFill="1" applyBorder="1" applyAlignment="1">
      <alignment/>
    </xf>
    <xf numFmtId="165" fontId="0" fillId="6" borderId="11" xfId="0" applyNumberFormat="1" applyFill="1" applyBorder="1" applyAlignment="1">
      <alignment/>
    </xf>
    <xf numFmtId="9" fontId="0" fillId="6" borderId="11" xfId="0" applyNumberFormat="1" applyFill="1" applyBorder="1" applyAlignment="1">
      <alignment/>
    </xf>
    <xf numFmtId="10" fontId="7" fillId="3" borderId="43" xfId="58" applyNumberFormat="1" applyFont="1" applyFill="1" applyBorder="1" applyAlignment="1">
      <alignment/>
    </xf>
    <xf numFmtId="165" fontId="7" fillId="0" borderId="32" xfId="42" applyNumberFormat="1" applyFont="1" applyFill="1" applyBorder="1" applyAlignment="1">
      <alignment/>
    </xf>
    <xf numFmtId="10" fontId="7" fillId="0" borderId="33" xfId="58" applyNumberFormat="1" applyFont="1" applyFill="1" applyBorder="1" applyAlignment="1">
      <alignment/>
    </xf>
    <xf numFmtId="165" fontId="7" fillId="0" borderId="35" xfId="42" applyNumberFormat="1" applyFont="1" applyFill="1" applyBorder="1" applyAlignment="1">
      <alignment/>
    </xf>
    <xf numFmtId="10" fontId="7" fillId="24" borderId="37" xfId="58" applyNumberFormat="1" applyFont="1" applyFill="1" applyBorder="1" applyAlignment="1">
      <alignment/>
    </xf>
    <xf numFmtId="165" fontId="50" fillId="3" borderId="44" xfId="42" applyNumberFormat="1" applyFont="1" applyFill="1" applyBorder="1" applyAlignment="1">
      <alignment/>
    </xf>
    <xf numFmtId="175" fontId="36" fillId="0" borderId="24" xfId="42" applyNumberFormat="1" applyFont="1" applyFill="1" applyBorder="1" applyAlignment="1">
      <alignment/>
    </xf>
    <xf numFmtId="9" fontId="0" fillId="0" borderId="0" xfId="58" applyFont="1" applyFill="1" applyBorder="1" applyAlignment="1">
      <alignment/>
    </xf>
    <xf numFmtId="0" fontId="0" fillId="0" borderId="0" xfId="0" applyFont="1" applyFill="1" applyAlignment="1">
      <alignment/>
    </xf>
    <xf numFmtId="164" fontId="0" fillId="0" borderId="11" xfId="0" applyNumberFormat="1" applyBorder="1" applyAlignment="1">
      <alignment/>
    </xf>
    <xf numFmtId="164" fontId="0" fillId="0" borderId="33" xfId="0" applyNumberFormat="1" applyBorder="1" applyAlignment="1">
      <alignment/>
    </xf>
    <xf numFmtId="0" fontId="0" fillId="0" borderId="33" xfId="0" applyBorder="1" applyAlignment="1">
      <alignment/>
    </xf>
    <xf numFmtId="0" fontId="0" fillId="0" borderId="36" xfId="0" applyBorder="1" applyAlignment="1">
      <alignment/>
    </xf>
    <xf numFmtId="164" fontId="0" fillId="0" borderId="36" xfId="0" applyNumberFormat="1" applyBorder="1" applyAlignment="1">
      <alignment/>
    </xf>
    <xf numFmtId="0" fontId="3" fillId="0" borderId="32" xfId="0" applyFont="1" applyBorder="1" applyAlignment="1">
      <alignment/>
    </xf>
    <xf numFmtId="165" fontId="27" fillId="13" borderId="0" xfId="42" applyNumberFormat="1" applyFont="1" applyFill="1" applyAlignment="1">
      <alignment/>
    </xf>
    <xf numFmtId="165" fontId="29" fillId="14" borderId="34" xfId="42" applyNumberFormat="1" applyFont="1" applyFill="1" applyBorder="1" applyAlignment="1">
      <alignment/>
    </xf>
    <xf numFmtId="165" fontId="29" fillId="14" borderId="31" xfId="42" applyNumberFormat="1" applyFont="1" applyFill="1" applyBorder="1" applyAlignment="1">
      <alignment/>
    </xf>
    <xf numFmtId="165" fontId="29" fillId="14" borderId="0" xfId="42" applyNumberFormat="1" applyFont="1" applyFill="1" applyAlignment="1">
      <alignment/>
    </xf>
    <xf numFmtId="165" fontId="29" fillId="14" borderId="13" xfId="42" applyNumberFormat="1" applyFont="1" applyFill="1" applyBorder="1" applyAlignment="1">
      <alignment/>
    </xf>
    <xf numFmtId="165" fontId="29" fillId="14" borderId="28" xfId="42" applyNumberFormat="1" applyFont="1" applyFill="1" applyBorder="1" applyAlignment="1">
      <alignment/>
    </xf>
    <xf numFmtId="165" fontId="29" fillId="14" borderId="25" xfId="42" applyNumberFormat="1" applyFont="1" applyFill="1" applyBorder="1" applyAlignment="1">
      <alignment/>
    </xf>
    <xf numFmtId="165" fontId="29" fillId="14" borderId="0" xfId="42" applyNumberFormat="1" applyFont="1" applyFill="1" applyAlignment="1">
      <alignment/>
    </xf>
    <xf numFmtId="0" fontId="42" fillId="14" borderId="0" xfId="0" applyFont="1" applyFill="1" applyAlignment="1">
      <alignment/>
    </xf>
    <xf numFmtId="43" fontId="0" fillId="7" borderId="0" xfId="42" applyNumberFormat="1" applyFont="1" applyFill="1" applyBorder="1" applyAlignment="1">
      <alignment/>
    </xf>
    <xf numFmtId="0" fontId="0" fillId="7" borderId="0" xfId="0" applyFill="1" applyAlignment="1">
      <alignment/>
    </xf>
    <xf numFmtId="165" fontId="0" fillId="7" borderId="0" xfId="42" applyNumberFormat="1" applyFont="1" applyFill="1" applyAlignment="1">
      <alignment/>
    </xf>
    <xf numFmtId="165" fontId="6" fillId="7" borderId="0" xfId="42" applyNumberFormat="1" applyFont="1" applyFill="1" applyAlignment="1">
      <alignment/>
    </xf>
    <xf numFmtId="0" fontId="43" fillId="13" borderId="0" xfId="0" applyFont="1" applyFill="1" applyAlignment="1">
      <alignment/>
    </xf>
    <xf numFmtId="165" fontId="51" fillId="0" borderId="0" xfId="42" applyNumberFormat="1" applyFont="1" applyAlignment="1">
      <alignment/>
    </xf>
    <xf numFmtId="0" fontId="52" fillId="0" borderId="0" xfId="0" applyFont="1" applyAlignment="1">
      <alignment/>
    </xf>
    <xf numFmtId="164" fontId="3" fillId="0" borderId="0" xfId="0" applyNumberFormat="1" applyFont="1" applyAlignment="1">
      <alignment/>
    </xf>
    <xf numFmtId="164" fontId="3" fillId="22" borderId="0" xfId="0" applyNumberFormat="1" applyFont="1" applyFill="1" applyAlignment="1">
      <alignment/>
    </xf>
    <xf numFmtId="164" fontId="0" fillId="22" borderId="0" xfId="0" applyNumberFormat="1" applyFill="1" applyAlignment="1">
      <alignment/>
    </xf>
    <xf numFmtId="0" fontId="4" fillId="0" borderId="0" xfId="0" applyFont="1" applyAlignment="1">
      <alignment/>
    </xf>
    <xf numFmtId="0" fontId="53" fillId="0" borderId="0" xfId="0" applyFont="1" applyAlignment="1">
      <alignment/>
    </xf>
    <xf numFmtId="165" fontId="54" fillId="0" borderId="0" xfId="42" applyNumberFormat="1" applyFont="1" applyAlignment="1">
      <alignment/>
    </xf>
    <xf numFmtId="0" fontId="4" fillId="0" borderId="0" xfId="0" applyFont="1" applyFill="1" applyAlignment="1">
      <alignment/>
    </xf>
    <xf numFmtId="164" fontId="0" fillId="0" borderId="0" xfId="0" applyNumberFormat="1" applyFont="1" applyAlignment="1">
      <alignment/>
    </xf>
    <xf numFmtId="165" fontId="55" fillId="0" borderId="0" xfId="42" applyNumberFormat="1" applyFont="1" applyFill="1" applyAlignment="1">
      <alignment/>
    </xf>
    <xf numFmtId="165" fontId="4" fillId="0" borderId="0" xfId="42" applyNumberFormat="1" applyFont="1" applyFill="1" applyAlignment="1">
      <alignment/>
    </xf>
    <xf numFmtId="168" fontId="0" fillId="0" borderId="11" xfId="0" applyNumberFormat="1" applyBorder="1" applyAlignment="1">
      <alignment/>
    </xf>
    <xf numFmtId="164" fontId="3" fillId="24" borderId="33" xfId="0" applyNumberFormat="1" applyFont="1" applyFill="1" applyBorder="1" applyAlignment="1">
      <alignment/>
    </xf>
    <xf numFmtId="0" fontId="3" fillId="0" borderId="35" xfId="0" applyFont="1" applyBorder="1" applyAlignment="1">
      <alignment/>
    </xf>
    <xf numFmtId="168" fontId="0" fillId="0" borderId="36" xfId="0" applyNumberFormat="1" applyBorder="1" applyAlignment="1">
      <alignment/>
    </xf>
    <xf numFmtId="164" fontId="3" fillId="24" borderId="37" xfId="0" applyNumberFormat="1" applyFont="1" applyFill="1" applyBorder="1" applyAlignment="1">
      <alignment/>
    </xf>
    <xf numFmtId="0" fontId="0" fillId="2" borderId="44" xfId="0" applyFill="1" applyBorder="1" applyAlignment="1">
      <alignment/>
    </xf>
    <xf numFmtId="0" fontId="0" fillId="2" borderId="45" xfId="0" applyFill="1" applyBorder="1" applyAlignment="1">
      <alignment/>
    </xf>
    <xf numFmtId="0" fontId="0" fillId="2" borderId="43" xfId="0" applyFill="1" applyBorder="1" applyAlignment="1">
      <alignment/>
    </xf>
    <xf numFmtId="164" fontId="0" fillId="0" borderId="0" xfId="0" applyNumberFormat="1" applyFill="1" applyBorder="1" applyAlignment="1">
      <alignment/>
    </xf>
    <xf numFmtId="164" fontId="0" fillId="0" borderId="0" xfId="0" applyNumberFormat="1" applyFont="1" applyFill="1" applyBorder="1" applyAlignment="1">
      <alignment/>
    </xf>
    <xf numFmtId="0" fontId="15" fillId="0" borderId="0" xfId="0" applyFont="1" applyFill="1" applyBorder="1" applyAlignment="1">
      <alignment/>
    </xf>
    <xf numFmtId="46" fontId="0" fillId="0" borderId="0" xfId="0" applyNumberForma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right"/>
    </xf>
    <xf numFmtId="0" fontId="3" fillId="7" borderId="0" xfId="0" applyFont="1" applyFill="1" applyAlignment="1">
      <alignment wrapText="1"/>
    </xf>
    <xf numFmtId="0" fontId="0" fillId="7" borderId="0" xfId="0" applyFill="1" applyAlignment="1">
      <alignment wrapText="1"/>
    </xf>
    <xf numFmtId="9" fontId="0" fillId="0" borderId="11" xfId="58" applyFont="1" applyBorder="1" applyAlignment="1">
      <alignment/>
    </xf>
    <xf numFmtId="9" fontId="0" fillId="0" borderId="11" xfId="0" applyNumberFormat="1" applyBorder="1" applyAlignment="1">
      <alignment wrapText="1"/>
    </xf>
    <xf numFmtId="10" fontId="3" fillId="0" borderId="11" xfId="0" applyNumberFormat="1" applyFont="1" applyBorder="1" applyAlignment="1">
      <alignment/>
    </xf>
    <xf numFmtId="10" fontId="3" fillId="0" borderId="11" xfId="58" applyNumberFormat="1" applyFont="1" applyBorder="1" applyAlignment="1">
      <alignment/>
    </xf>
    <xf numFmtId="9" fontId="0" fillId="0" borderId="0" xfId="58" applyFont="1" applyBorder="1" applyAlignment="1">
      <alignment/>
    </xf>
    <xf numFmtId="9" fontId="0" fillId="0" borderId="0" xfId="0" applyNumberFormat="1" applyBorder="1" applyAlignment="1">
      <alignment/>
    </xf>
    <xf numFmtId="15" fontId="52" fillId="0" borderId="0" xfId="0" applyNumberFormat="1" applyFont="1" applyAlignment="1">
      <alignment/>
    </xf>
    <xf numFmtId="0" fontId="52" fillId="0" borderId="0" xfId="0" applyFont="1" applyAlignment="1">
      <alignment/>
    </xf>
    <xf numFmtId="0" fontId="15" fillId="0" borderId="0" xfId="0" applyFont="1" applyAlignment="1">
      <alignment/>
    </xf>
    <xf numFmtId="0" fontId="57" fillId="0" borderId="0" xfId="52" applyFont="1" applyAlignment="1" applyProtection="1">
      <alignment/>
      <protection/>
    </xf>
    <xf numFmtId="0" fontId="52" fillId="0" borderId="0" xfId="0" applyFont="1" applyAlignment="1">
      <alignment horizontal="left"/>
    </xf>
    <xf numFmtId="0" fontId="52" fillId="0" borderId="0" xfId="0" applyFont="1" applyAlignment="1">
      <alignment horizontal="left"/>
    </xf>
    <xf numFmtId="0" fontId="15" fillId="6" borderId="12" xfId="0" applyFont="1" applyFill="1" applyBorder="1" applyAlignment="1">
      <alignment horizontal="center"/>
    </xf>
    <xf numFmtId="0" fontId="0" fillId="6" borderId="29" xfId="0" applyFill="1" applyBorder="1" applyAlignment="1">
      <alignment horizontal="center"/>
    </xf>
    <xf numFmtId="0" fontId="15" fillId="6" borderId="11" xfId="0" applyFont="1" applyFill="1" applyBorder="1" applyAlignment="1">
      <alignment horizontal="center"/>
    </xf>
    <xf numFmtId="0" fontId="0" fillId="0" borderId="11" xfId="0" applyBorder="1" applyAlignment="1">
      <alignment horizontal="center"/>
    </xf>
    <xf numFmtId="0" fontId="0" fillId="20" borderId="0" xfId="0" applyFill="1" applyAlignment="1">
      <alignment horizontal="center"/>
    </xf>
    <xf numFmtId="1" fontId="3" fillId="0" borderId="0" xfId="0"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75"/>
          <c:y val="0.06675"/>
          <c:w val="0.593"/>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Charts!$A$204:$A$206</c:f>
              <c:strCache/>
            </c:strRef>
          </c:cat>
          <c:val>
            <c:numRef>
              <c:f>Charts!$B$204:$B$206</c:f>
              <c:numCache>
                <c:ptCount val="3"/>
                <c:pt idx="0">
                  <c:v>0</c:v>
                </c:pt>
                <c:pt idx="1">
                  <c:v>0</c:v>
                </c:pt>
                <c:pt idx="2">
                  <c:v>0</c:v>
                </c:pt>
              </c:numCache>
            </c:numRef>
          </c:val>
        </c:ser>
      </c:pie3DChart>
      <c:spPr>
        <a:noFill/>
        <a:ln>
          <a:noFill/>
        </a:ln>
      </c:spPr>
    </c:plotArea>
    <c:legend>
      <c:legendPos val="r"/>
      <c:layout>
        <c:manualLayout>
          <c:xMode val="edge"/>
          <c:yMode val="edge"/>
          <c:x val="0.7315"/>
          <c:y val="0.36925"/>
          <c:w val="0.259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5"/>
          <c:y val="0.06675"/>
          <c:w val="0.591"/>
          <c:h val="0.85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Charts!$A$12:$A$14</c:f>
              <c:strCache/>
            </c:strRef>
          </c:cat>
          <c:val>
            <c:numRef>
              <c:f>Charts!$B$12:$B$14</c:f>
              <c:numCache>
                <c:ptCount val="3"/>
                <c:pt idx="0">
                  <c:v>0</c:v>
                </c:pt>
                <c:pt idx="1">
                  <c:v>0</c:v>
                </c:pt>
                <c:pt idx="2">
                  <c:v>0</c:v>
                </c:pt>
              </c:numCache>
            </c:numRef>
          </c:val>
        </c:ser>
      </c:pie3DChart>
      <c:spPr>
        <a:noFill/>
        <a:ln>
          <a:noFill/>
        </a:ln>
      </c:spPr>
    </c:plotArea>
    <c:legend>
      <c:legendPos val="r"/>
      <c:layout>
        <c:manualLayout>
          <c:xMode val="edge"/>
          <c:yMode val="edge"/>
          <c:x val="0.68425"/>
          <c:y val="0.35475"/>
          <c:w val="0.27775"/>
          <c:h val="0.372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175"/>
          <c:y val="0.0345"/>
          <c:w val="0.5575"/>
          <c:h val="0.91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Charts!$A$179:$A$180</c:f>
              <c:strCache/>
            </c:strRef>
          </c:cat>
          <c:val>
            <c:numRef>
              <c:f>Charts!$B$179:$B$180</c:f>
              <c:numCache>
                <c:ptCount val="2"/>
                <c:pt idx="0">
                  <c:v>0</c:v>
                </c:pt>
                <c:pt idx="1">
                  <c:v>0</c:v>
                </c:pt>
              </c:numCache>
            </c:numRef>
          </c:val>
        </c:ser>
      </c:pie3DChart>
      <c:spPr>
        <a:noFill/>
        <a:ln>
          <a:noFill/>
        </a:ln>
      </c:spPr>
    </c:plotArea>
    <c:legend>
      <c:legendPos val="r"/>
      <c:layout>
        <c:manualLayout>
          <c:xMode val="edge"/>
          <c:yMode val="edge"/>
          <c:x val="0.692"/>
          <c:y val="0.35125"/>
          <c:w val="0.29875"/>
          <c:h val="0.283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85"/>
          <c:y val="0.0955"/>
          <c:w val="0.726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0"/>
            <c:showSerName val="0"/>
            <c:showLeaderLines val="1"/>
            <c:showPercent val="0"/>
          </c:dLbls>
          <c:cat>
            <c:strRef>
              <c:f>Charts!$A$147:$A$151</c:f>
              <c:strCache/>
            </c:strRef>
          </c:cat>
          <c:val>
            <c:numRef>
              <c:f>Charts!$B$147:$B$151</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8275"/>
          <c:y val="0.2795"/>
          <c:w val="0.158"/>
          <c:h val="0.426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3475"/>
          <c:y val="0.0955"/>
          <c:w val="0.79925"/>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1"/>
            <c:showBubbleSize val="0"/>
            <c:showCatName val="0"/>
            <c:showSerName val="0"/>
            <c:showLeaderLines val="1"/>
            <c:showPercent val="0"/>
          </c:dLbls>
          <c:cat>
            <c:strRef>
              <c:f>Charts!$A$118:$A$120</c:f>
              <c:strCache/>
            </c:strRef>
          </c:cat>
          <c:val>
            <c:numRef>
              <c:f>Charts!$B$118:$B$120</c:f>
              <c:numCache>
                <c:ptCount val="3"/>
                <c:pt idx="0">
                  <c:v>0</c:v>
                </c:pt>
                <c:pt idx="1">
                  <c:v>0</c:v>
                </c:pt>
                <c:pt idx="2">
                  <c:v>0</c:v>
                </c:pt>
              </c:numCache>
            </c:numRef>
          </c:val>
        </c:ser>
      </c:pie3DChart>
      <c:spPr>
        <a:noFill/>
        <a:ln>
          <a:noFill/>
        </a:ln>
      </c:spPr>
    </c:plotArea>
    <c:legend>
      <c:legendPos val="r"/>
      <c:layout>
        <c:manualLayout>
          <c:xMode val="edge"/>
          <c:yMode val="edge"/>
          <c:x val="0.864"/>
          <c:y val="0.3655"/>
          <c:w val="0.11425"/>
          <c:h val="0.254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425"/>
          <c:y val="0.0955"/>
          <c:w val="0.759"/>
          <c:h val="0.798"/>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howLegendKey val="0"/>
            <c:showVal val="1"/>
            <c:showBubbleSize val="0"/>
            <c:showCatName val="0"/>
            <c:showSerName val="0"/>
            <c:showLeaderLines val="1"/>
            <c:showPercent val="0"/>
          </c:dLbls>
          <c:cat>
            <c:strRef>
              <c:f>Charts!$A$91:$A$92</c:f>
              <c:strCache/>
            </c:strRef>
          </c:cat>
          <c:val>
            <c:numRef>
              <c:f>Charts!$B$91:$B$92</c:f>
              <c:numCache>
                <c:ptCount val="2"/>
                <c:pt idx="0">
                  <c:v>0</c:v>
                </c:pt>
                <c:pt idx="1">
                  <c:v>0</c:v>
                </c:pt>
              </c:numCache>
            </c:numRef>
          </c:val>
        </c:ser>
      </c:pie3DChart>
      <c:spPr>
        <a:noFill/>
        <a:ln>
          <a:noFill/>
        </a:ln>
      </c:spPr>
    </c:plotArea>
    <c:legend>
      <c:legendPos val="r"/>
      <c:layout>
        <c:manualLayout>
          <c:xMode val="edge"/>
          <c:yMode val="edge"/>
          <c:x val="0.844"/>
          <c:y val="0.4085"/>
          <c:w val="0.136"/>
          <c:h val="0.168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225"/>
          <c:y val="0.29325"/>
          <c:w val="0.55625"/>
          <c:h val="0.40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General" sourceLinked="1"/>
            <c:showLegendKey val="0"/>
            <c:showVal val="1"/>
            <c:showBubbleSize val="0"/>
            <c:showCatName val="0"/>
            <c:showSerName val="0"/>
            <c:showLeaderLines val="1"/>
            <c:showPercent val="0"/>
          </c:dLbls>
          <c:cat>
            <c:strRef>
              <c:f>Charts!$A$57:$A$77</c:f>
              <c:strCache/>
            </c:strRef>
          </c:cat>
          <c:val>
            <c:numRef>
              <c:f>Charts!$B$57:$B$77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pie3DChart>
      <c:spPr>
        <a:noFill/>
        <a:ln>
          <a:noFill/>
        </a:ln>
      </c:spPr>
    </c:plotArea>
    <c:legend>
      <c:legendPos val="r"/>
      <c:layout>
        <c:manualLayout>
          <c:xMode val="edge"/>
          <c:yMode val="edge"/>
          <c:x val="0.67075"/>
          <c:y val="0.02375"/>
          <c:w val="0.3225"/>
          <c:h val="0.96025"/>
        </c:manualLayout>
      </c:layout>
      <c:overlay val="0"/>
      <c:spPr>
        <a:noFill/>
        <a:ln w="3175">
          <a:noFill/>
        </a:ln>
      </c:spPr>
      <c:txPr>
        <a:bodyPr vert="horz" rot="0"/>
        <a:lstStyle/>
        <a:p>
          <a:pPr>
            <a:defRPr lang="en-US" cap="none" sz="8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9"/>
      <c:rotY val="20"/>
      <c:depthPercent val="100"/>
      <c:rAngAx val="1"/>
    </c:view3D>
    <c:plotArea>
      <c:layout>
        <c:manualLayout>
          <c:xMode val="edge"/>
          <c:yMode val="edge"/>
          <c:x val="0.159"/>
          <c:y val="0.031"/>
          <c:w val="0.46525"/>
          <c:h val="0.67975"/>
        </c:manualLayout>
      </c:layout>
      <c:bar3DChart>
        <c:barDir val="col"/>
        <c:grouping val="clustered"/>
        <c:varyColors val="0"/>
        <c:ser>
          <c:idx val="0"/>
          <c:order val="0"/>
          <c:tx>
            <c:strRef>
              <c:f>Charts!$B$223</c:f>
              <c:strCache>
                <c:ptCount val="1"/>
                <c:pt idx="0">
                  <c:v>2008 Boston GHG Emissions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Charts!$A$224:$A$230</c:f>
              <c:strCache/>
            </c:strRef>
          </c:cat>
          <c:val>
            <c:numRef>
              <c:f>Charts!$B$224:$B$230</c:f>
              <c:numCache>
                <c:ptCount val="7"/>
                <c:pt idx="0">
                  <c:v>0</c:v>
                </c:pt>
                <c:pt idx="1">
                  <c:v>0</c:v>
                </c:pt>
                <c:pt idx="2">
                  <c:v>0</c:v>
                </c:pt>
                <c:pt idx="3">
                  <c:v>0</c:v>
                </c:pt>
                <c:pt idx="4">
                  <c:v>0</c:v>
                </c:pt>
                <c:pt idx="5">
                  <c:v>0</c:v>
                </c:pt>
                <c:pt idx="6">
                  <c:v>0</c:v>
                </c:pt>
              </c:numCache>
            </c:numRef>
          </c:val>
          <c:shape val="box"/>
        </c:ser>
        <c:shape val="box"/>
        <c:axId val="30723488"/>
        <c:axId val="8075937"/>
      </c:bar3DChart>
      <c:catAx>
        <c:axId val="307234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075937"/>
        <c:crosses val="autoZero"/>
        <c:auto val="1"/>
        <c:lblOffset val="100"/>
        <c:tickLblSkip val="1"/>
        <c:noMultiLvlLbl val="0"/>
      </c:catAx>
      <c:valAx>
        <c:axId val="80759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23488"/>
        <c:crossesAt val="1"/>
        <c:crossBetween val="between"/>
        <c:dispUnits/>
      </c:valAx>
      <c:spPr>
        <a:noFill/>
        <a:ln>
          <a:noFill/>
        </a:ln>
      </c:spPr>
    </c:plotArea>
    <c:legend>
      <c:legendPos val="r"/>
      <c:layout>
        <c:manualLayout>
          <c:xMode val="edge"/>
          <c:yMode val="edge"/>
          <c:x val="0.6525"/>
          <c:y val="0.4515"/>
          <c:w val="0.3397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025"/>
          <c:y val="0"/>
        </c:manualLayout>
      </c:layout>
      <c:spPr>
        <a:noFill/>
        <a:ln>
          <a:noFill/>
        </a:ln>
      </c:spPr>
      <c:txPr>
        <a:bodyPr vert="horz" rot="0"/>
        <a:lstStyle/>
        <a:p>
          <a:pPr>
            <a:defRPr lang="en-US" cap="none" sz="1175" b="0" i="0" u="none" baseline="0">
              <a:solidFill>
                <a:srgbClr val="000000"/>
              </a:solidFill>
              <a:latin typeface="Arial"/>
              <a:ea typeface="Arial"/>
              <a:cs typeface="Arial"/>
            </a:defRPr>
          </a:pPr>
        </a:p>
      </c:txPr>
    </c:title>
    <c:plotArea>
      <c:layout>
        <c:manualLayout>
          <c:xMode val="edge"/>
          <c:yMode val="edge"/>
          <c:x val="0.07925"/>
          <c:y val="0.16825"/>
          <c:w val="0.7305"/>
          <c:h val="0.7925"/>
        </c:manualLayout>
      </c:layout>
      <c:lineChart>
        <c:grouping val="standard"/>
        <c:varyColors val="0"/>
        <c:ser>
          <c:idx val="0"/>
          <c:order val="0"/>
          <c:tx>
            <c:strRef>
              <c:f>'[1]Summary-eCO2'!$A$1</c:f>
              <c:strCache>
                <c:ptCount val="1"/>
                <c:pt idx="0">
                  <c:v>Boston Community Greenhouse Gas Inventory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'[1]Summary-eCO2'!$C$3:$K$3</c:f>
              <c:strCache>
                <c:ptCount val="9"/>
                <c:pt idx="0">
                  <c:v>2004</c:v>
                </c:pt>
                <c:pt idx="1">
                  <c:v>% of Total</c:v>
                </c:pt>
                <c:pt idx="2">
                  <c:v>2005</c:v>
                </c:pt>
                <c:pt idx="3">
                  <c:v>% of Total</c:v>
                </c:pt>
                <c:pt idx="4">
                  <c:v>2006</c:v>
                </c:pt>
                <c:pt idx="5">
                  <c:v>% of Total</c:v>
                </c:pt>
                <c:pt idx="6">
                  <c:v>2007</c:v>
                </c:pt>
                <c:pt idx="7">
                  <c:v>% of Total</c:v>
                </c:pt>
                <c:pt idx="8">
                  <c:v>2008</c:v>
                </c:pt>
              </c:strCache>
            </c:strRef>
          </c:cat>
          <c:val>
            <c:numRef>
              <c:f>'[1]Summary-eCO2'!$C$41:$K$41</c:f>
              <c:numCache>
                <c:ptCount val="9"/>
                <c:pt idx="0">
                  <c:v>8116479</c:v>
                </c:pt>
                <c:pt idx="2">
                  <c:v>8427963</c:v>
                </c:pt>
                <c:pt idx="4">
                  <c:v>8050594</c:v>
                </c:pt>
                <c:pt idx="6">
                  <c:v>8542913</c:v>
                </c:pt>
                <c:pt idx="8">
                  <c:v>8630417</c:v>
                </c:pt>
              </c:numCache>
            </c:numRef>
          </c:val>
          <c:smooth val="0"/>
        </c:ser>
        <c:marker val="1"/>
        <c:axId val="5574570"/>
        <c:axId val="50171131"/>
      </c:lineChart>
      <c:catAx>
        <c:axId val="557457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a:t>
                </a:r>
              </a:p>
            </c:rich>
          </c:tx>
          <c:layout>
            <c:manualLayout>
              <c:xMode val="factor"/>
              <c:yMode val="factor"/>
              <c:x val="0.00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0171131"/>
        <c:crosses val="autoZero"/>
        <c:auto val="1"/>
        <c:lblOffset val="100"/>
        <c:tickLblSkip val="1"/>
        <c:noMultiLvlLbl val="0"/>
      </c:catAx>
      <c:valAx>
        <c:axId val="5017113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Million tons of eCO2</a:t>
                </a:r>
              </a:p>
            </c:rich>
          </c:tx>
          <c:layout>
            <c:manualLayout>
              <c:xMode val="factor"/>
              <c:yMode val="factor"/>
              <c:x val="-0.00075"/>
              <c:y val="-0.01525"/>
            </c:manualLayout>
          </c:layout>
          <c:overlay val="0"/>
          <c:spPr>
            <a:noFill/>
            <a:ln>
              <a:noFill/>
            </a:ln>
          </c:spPr>
        </c:title>
        <c:delete val="0"/>
        <c:numFmt formatCode="##0.0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74570"/>
        <c:crossesAt val="1"/>
        <c:crossBetween val="between"/>
        <c:dispUnits/>
      </c:valAx>
      <c:spPr>
        <a:solidFill>
          <a:srgbClr val="C0C0C0"/>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200</xdr:row>
      <xdr:rowOff>76200</xdr:rowOff>
    </xdr:from>
    <xdr:to>
      <xdr:col>10</xdr:col>
      <xdr:colOff>47625</xdr:colOff>
      <xdr:row>217</xdr:row>
      <xdr:rowOff>66675</xdr:rowOff>
    </xdr:to>
    <xdr:graphicFrame>
      <xdr:nvGraphicFramePr>
        <xdr:cNvPr id="1" name="Chart 7"/>
        <xdr:cNvGraphicFramePr/>
      </xdr:nvGraphicFramePr>
      <xdr:xfrm>
        <a:off x="4143375" y="32842200"/>
        <a:ext cx="5334000" cy="27432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57150</xdr:rowOff>
    </xdr:from>
    <xdr:to>
      <xdr:col>9</xdr:col>
      <xdr:colOff>276225</xdr:colOff>
      <xdr:row>23</xdr:row>
      <xdr:rowOff>47625</xdr:rowOff>
    </xdr:to>
    <xdr:graphicFrame>
      <xdr:nvGraphicFramePr>
        <xdr:cNvPr id="2" name="Chart 8"/>
        <xdr:cNvGraphicFramePr/>
      </xdr:nvGraphicFramePr>
      <xdr:xfrm>
        <a:off x="3762375" y="1066800"/>
        <a:ext cx="5334000" cy="2743200"/>
      </xdr:xfrm>
      <a:graphic>
        <a:graphicData uri="http://schemas.openxmlformats.org/drawingml/2006/chart">
          <c:chart xmlns:c="http://schemas.openxmlformats.org/drawingml/2006/chart" r:id="rId2"/>
        </a:graphicData>
      </a:graphic>
    </xdr:graphicFrame>
    <xdr:clientData/>
  </xdr:twoCellAnchor>
  <xdr:twoCellAnchor>
    <xdr:from>
      <xdr:col>3</xdr:col>
      <xdr:colOff>47625</xdr:colOff>
      <xdr:row>172</xdr:row>
      <xdr:rowOff>152400</xdr:rowOff>
    </xdr:from>
    <xdr:to>
      <xdr:col>9</xdr:col>
      <xdr:colOff>200025</xdr:colOff>
      <xdr:row>189</xdr:row>
      <xdr:rowOff>142875</xdr:rowOff>
    </xdr:to>
    <xdr:graphicFrame>
      <xdr:nvGraphicFramePr>
        <xdr:cNvPr id="3" name="Chart 9"/>
        <xdr:cNvGraphicFramePr/>
      </xdr:nvGraphicFramePr>
      <xdr:xfrm>
        <a:off x="3800475" y="28384500"/>
        <a:ext cx="5219700" cy="27432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137</xdr:row>
      <xdr:rowOff>152400</xdr:rowOff>
    </xdr:from>
    <xdr:to>
      <xdr:col>9</xdr:col>
      <xdr:colOff>276225</xdr:colOff>
      <xdr:row>154</xdr:row>
      <xdr:rowOff>142875</xdr:rowOff>
    </xdr:to>
    <xdr:graphicFrame>
      <xdr:nvGraphicFramePr>
        <xdr:cNvPr id="4" name="Chart 10"/>
        <xdr:cNvGraphicFramePr/>
      </xdr:nvGraphicFramePr>
      <xdr:xfrm>
        <a:off x="3762375" y="22374225"/>
        <a:ext cx="5334000" cy="2743200"/>
      </xdr:xfrm>
      <a:graphic>
        <a:graphicData uri="http://schemas.openxmlformats.org/drawingml/2006/chart">
          <c:chart xmlns:c="http://schemas.openxmlformats.org/drawingml/2006/chart" r:id="rId4"/>
        </a:graphicData>
      </a:graphic>
    </xdr:graphicFrame>
    <xdr:clientData/>
  </xdr:twoCellAnchor>
  <xdr:twoCellAnchor>
    <xdr:from>
      <xdr:col>2</xdr:col>
      <xdr:colOff>438150</xdr:colOff>
      <xdr:row>109</xdr:row>
      <xdr:rowOff>66675</xdr:rowOff>
    </xdr:from>
    <xdr:to>
      <xdr:col>9</xdr:col>
      <xdr:colOff>247650</xdr:colOff>
      <xdr:row>126</xdr:row>
      <xdr:rowOff>57150</xdr:rowOff>
    </xdr:to>
    <xdr:graphicFrame>
      <xdr:nvGraphicFramePr>
        <xdr:cNvPr id="5" name="Chart 11"/>
        <xdr:cNvGraphicFramePr/>
      </xdr:nvGraphicFramePr>
      <xdr:xfrm>
        <a:off x="3733800" y="17754600"/>
        <a:ext cx="5334000" cy="2743200"/>
      </xdr:xfrm>
      <a:graphic>
        <a:graphicData uri="http://schemas.openxmlformats.org/drawingml/2006/chart">
          <c:chart xmlns:c="http://schemas.openxmlformats.org/drawingml/2006/chart" r:id="rId5"/>
        </a:graphicData>
      </a:graphic>
    </xdr:graphicFrame>
    <xdr:clientData/>
  </xdr:twoCellAnchor>
  <xdr:twoCellAnchor>
    <xdr:from>
      <xdr:col>3</xdr:col>
      <xdr:colOff>676275</xdr:colOff>
      <xdr:row>83</xdr:row>
      <xdr:rowOff>85725</xdr:rowOff>
    </xdr:from>
    <xdr:to>
      <xdr:col>10</xdr:col>
      <xdr:colOff>333375</xdr:colOff>
      <xdr:row>100</xdr:row>
      <xdr:rowOff>76200</xdr:rowOff>
    </xdr:to>
    <xdr:graphicFrame>
      <xdr:nvGraphicFramePr>
        <xdr:cNvPr id="6" name="Chart 12"/>
        <xdr:cNvGraphicFramePr/>
      </xdr:nvGraphicFramePr>
      <xdr:xfrm>
        <a:off x="4429125" y="13563600"/>
        <a:ext cx="5334000" cy="2743200"/>
      </xdr:xfrm>
      <a:graphic>
        <a:graphicData uri="http://schemas.openxmlformats.org/drawingml/2006/chart">
          <c:chart xmlns:c="http://schemas.openxmlformats.org/drawingml/2006/chart" r:id="rId6"/>
        </a:graphicData>
      </a:graphic>
    </xdr:graphicFrame>
    <xdr:clientData/>
  </xdr:twoCellAnchor>
  <xdr:twoCellAnchor>
    <xdr:from>
      <xdr:col>2</xdr:col>
      <xdr:colOff>438150</xdr:colOff>
      <xdr:row>31</xdr:row>
      <xdr:rowOff>123825</xdr:rowOff>
    </xdr:from>
    <xdr:to>
      <xdr:col>14</xdr:col>
      <xdr:colOff>361950</xdr:colOff>
      <xdr:row>76</xdr:row>
      <xdr:rowOff>133350</xdr:rowOff>
    </xdr:to>
    <xdr:graphicFrame>
      <xdr:nvGraphicFramePr>
        <xdr:cNvPr id="7" name="Chart 13"/>
        <xdr:cNvGraphicFramePr/>
      </xdr:nvGraphicFramePr>
      <xdr:xfrm>
        <a:off x="3733800" y="5181600"/>
        <a:ext cx="8620125" cy="7296150"/>
      </xdr:xfrm>
      <a:graphic>
        <a:graphicData uri="http://schemas.openxmlformats.org/drawingml/2006/chart">
          <c:chart xmlns:c="http://schemas.openxmlformats.org/drawingml/2006/chart" r:id="rId7"/>
        </a:graphicData>
      </a:graphic>
    </xdr:graphicFrame>
    <xdr:clientData/>
  </xdr:twoCellAnchor>
  <xdr:twoCellAnchor>
    <xdr:from>
      <xdr:col>4</xdr:col>
      <xdr:colOff>542925</xdr:colOff>
      <xdr:row>223</xdr:row>
      <xdr:rowOff>28575</xdr:rowOff>
    </xdr:from>
    <xdr:to>
      <xdr:col>11</xdr:col>
      <xdr:colOff>314325</xdr:colOff>
      <xdr:row>240</xdr:row>
      <xdr:rowOff>19050</xdr:rowOff>
    </xdr:to>
    <xdr:graphicFrame>
      <xdr:nvGraphicFramePr>
        <xdr:cNvPr id="8" name="Chart 16"/>
        <xdr:cNvGraphicFramePr/>
      </xdr:nvGraphicFramePr>
      <xdr:xfrm>
        <a:off x="5362575" y="36518850"/>
        <a:ext cx="4991100" cy="27432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48</xdr:row>
      <xdr:rowOff>57150</xdr:rowOff>
    </xdr:from>
    <xdr:to>
      <xdr:col>12</xdr:col>
      <xdr:colOff>180975</xdr:colOff>
      <xdr:row>65</xdr:row>
      <xdr:rowOff>38100</xdr:rowOff>
    </xdr:to>
    <xdr:graphicFrame>
      <xdr:nvGraphicFramePr>
        <xdr:cNvPr id="1" name="Chart 1"/>
        <xdr:cNvGraphicFramePr/>
      </xdr:nvGraphicFramePr>
      <xdr:xfrm>
        <a:off x="2266950" y="8324850"/>
        <a:ext cx="4772025" cy="273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126</xdr:row>
      <xdr:rowOff>47625</xdr:rowOff>
    </xdr:from>
    <xdr:to>
      <xdr:col>13</xdr:col>
      <xdr:colOff>466725</xdr:colOff>
      <xdr:row>166</xdr:row>
      <xdr:rowOff>76200</xdr:rowOff>
    </xdr:to>
    <xdr:pic>
      <xdr:nvPicPr>
        <xdr:cNvPr id="1" name="Picture 2"/>
        <xdr:cNvPicPr preferRelativeResize="1">
          <a:picLocks noChangeAspect="1"/>
        </xdr:cNvPicPr>
      </xdr:nvPicPr>
      <xdr:blipFill>
        <a:blip r:embed="rId1"/>
        <a:stretch>
          <a:fillRect/>
        </a:stretch>
      </xdr:blipFill>
      <xdr:spPr>
        <a:xfrm>
          <a:off x="219075" y="20554950"/>
          <a:ext cx="8677275" cy="6505575"/>
        </a:xfrm>
        <a:prstGeom prst="rect">
          <a:avLst/>
        </a:prstGeom>
        <a:noFill/>
        <a:ln w="9525" cmpd="sng">
          <a:noFill/>
        </a:ln>
      </xdr:spPr>
    </xdr:pic>
    <xdr:clientData/>
  </xdr:twoCellAnchor>
  <xdr:twoCellAnchor editAs="oneCell">
    <xdr:from>
      <xdr:col>0</xdr:col>
      <xdr:colOff>114300</xdr:colOff>
      <xdr:row>11</xdr:row>
      <xdr:rowOff>57150</xdr:rowOff>
    </xdr:from>
    <xdr:to>
      <xdr:col>8</xdr:col>
      <xdr:colOff>257175</xdr:colOff>
      <xdr:row>56</xdr:row>
      <xdr:rowOff>152400</xdr:rowOff>
    </xdr:to>
    <xdr:pic>
      <xdr:nvPicPr>
        <xdr:cNvPr id="2" name="Picture 62"/>
        <xdr:cNvPicPr preferRelativeResize="1">
          <a:picLocks noChangeAspect="1"/>
        </xdr:cNvPicPr>
      </xdr:nvPicPr>
      <xdr:blipFill>
        <a:blip r:embed="rId2"/>
        <a:stretch>
          <a:fillRect/>
        </a:stretch>
      </xdr:blipFill>
      <xdr:spPr>
        <a:xfrm>
          <a:off x="114300" y="1943100"/>
          <a:ext cx="5019675" cy="7381875"/>
        </a:xfrm>
        <a:prstGeom prst="rect">
          <a:avLst/>
        </a:prstGeom>
        <a:noFill/>
        <a:ln w="9525" cmpd="sng">
          <a:noFill/>
        </a:ln>
      </xdr:spPr>
    </xdr:pic>
    <xdr:clientData/>
  </xdr:twoCellAnchor>
  <xdr:twoCellAnchor editAs="oneCell">
    <xdr:from>
      <xdr:col>0</xdr:col>
      <xdr:colOff>238125</xdr:colOff>
      <xdr:row>67</xdr:row>
      <xdr:rowOff>38100</xdr:rowOff>
    </xdr:from>
    <xdr:to>
      <xdr:col>12</xdr:col>
      <xdr:colOff>114300</xdr:colOff>
      <xdr:row>124</xdr:row>
      <xdr:rowOff>76200</xdr:rowOff>
    </xdr:to>
    <xdr:pic>
      <xdr:nvPicPr>
        <xdr:cNvPr id="3" name="Picture 36"/>
        <xdr:cNvPicPr preferRelativeResize="1">
          <a:picLocks noChangeAspect="1"/>
        </xdr:cNvPicPr>
      </xdr:nvPicPr>
      <xdr:blipFill>
        <a:blip r:embed="rId3"/>
        <a:stretch>
          <a:fillRect/>
        </a:stretch>
      </xdr:blipFill>
      <xdr:spPr>
        <a:xfrm>
          <a:off x="238125" y="10991850"/>
          <a:ext cx="7696200" cy="9267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41</xdr:row>
      <xdr:rowOff>28575</xdr:rowOff>
    </xdr:from>
    <xdr:to>
      <xdr:col>11</xdr:col>
      <xdr:colOff>76200</xdr:colOff>
      <xdr:row>73</xdr:row>
      <xdr:rowOff>57150</xdr:rowOff>
    </xdr:to>
    <xdr:pic>
      <xdr:nvPicPr>
        <xdr:cNvPr id="1" name="Picture 1"/>
        <xdr:cNvPicPr preferRelativeResize="1">
          <a:picLocks noChangeAspect="1"/>
        </xdr:cNvPicPr>
      </xdr:nvPicPr>
      <xdr:blipFill>
        <a:blip r:embed="rId1"/>
        <a:stretch>
          <a:fillRect/>
        </a:stretch>
      </xdr:blipFill>
      <xdr:spPr>
        <a:xfrm>
          <a:off x="323850" y="7277100"/>
          <a:ext cx="10163175" cy="5210175"/>
        </a:xfrm>
        <a:prstGeom prst="rect">
          <a:avLst/>
        </a:prstGeom>
        <a:noFill/>
        <a:ln w="9525" cmpd="sng">
          <a:noFill/>
        </a:ln>
      </xdr:spPr>
    </xdr:pic>
    <xdr:clientData/>
  </xdr:twoCellAnchor>
  <xdr:twoCellAnchor editAs="oneCell">
    <xdr:from>
      <xdr:col>0</xdr:col>
      <xdr:colOff>295275</xdr:colOff>
      <xdr:row>73</xdr:row>
      <xdr:rowOff>152400</xdr:rowOff>
    </xdr:from>
    <xdr:to>
      <xdr:col>4</xdr:col>
      <xdr:colOff>114300</xdr:colOff>
      <xdr:row>85</xdr:row>
      <xdr:rowOff>114300</xdr:rowOff>
    </xdr:to>
    <xdr:pic>
      <xdr:nvPicPr>
        <xdr:cNvPr id="2" name="Picture 2"/>
        <xdr:cNvPicPr preferRelativeResize="1">
          <a:picLocks noChangeAspect="1"/>
        </xdr:cNvPicPr>
      </xdr:nvPicPr>
      <xdr:blipFill>
        <a:blip r:embed="rId2"/>
        <a:stretch>
          <a:fillRect/>
        </a:stretch>
      </xdr:blipFill>
      <xdr:spPr>
        <a:xfrm>
          <a:off x="295275" y="12582525"/>
          <a:ext cx="5057775" cy="1905000"/>
        </a:xfrm>
        <a:prstGeom prst="rect">
          <a:avLst/>
        </a:prstGeom>
        <a:noFill/>
        <a:ln w="9525" cmpd="sng">
          <a:noFill/>
        </a:ln>
      </xdr:spPr>
    </xdr:pic>
    <xdr:clientData/>
  </xdr:twoCellAnchor>
  <xdr:twoCellAnchor editAs="oneCell">
    <xdr:from>
      <xdr:col>0</xdr:col>
      <xdr:colOff>276225</xdr:colOff>
      <xdr:row>86</xdr:row>
      <xdr:rowOff>142875</xdr:rowOff>
    </xdr:from>
    <xdr:to>
      <xdr:col>4</xdr:col>
      <xdr:colOff>57150</xdr:colOff>
      <xdr:row>93</xdr:row>
      <xdr:rowOff>104775</xdr:rowOff>
    </xdr:to>
    <xdr:pic>
      <xdr:nvPicPr>
        <xdr:cNvPr id="3" name="Picture 3"/>
        <xdr:cNvPicPr preferRelativeResize="1">
          <a:picLocks noChangeAspect="1"/>
        </xdr:cNvPicPr>
      </xdr:nvPicPr>
      <xdr:blipFill>
        <a:blip r:embed="rId3"/>
        <a:stretch>
          <a:fillRect/>
        </a:stretch>
      </xdr:blipFill>
      <xdr:spPr>
        <a:xfrm>
          <a:off x="276225" y="14678025"/>
          <a:ext cx="50196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MASTER%202004-2008%20Community%20Inventory%20Data%20Summary_102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aabmain\my%20documents\Documents%20and%20Settings\wlarsen.CLF\Local%20Settings\Temporary%20Internet%20Files\OLK2\JDR%202009-12-22-Boston-impacts-2020_for-LeadCo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aabmain\my%20documents\Documents%20and%20Settings\Administrator\Local%20Settings\Temporary%20Internet%20Files\OLK30\Cool%20Green%20Roofs%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Summary-eCO2"/>
      <sheetName val="Summary-Fuel"/>
      <sheetName val="VMTs"/>
      <sheetName val="2005"/>
      <sheetName val="2006"/>
      <sheetName val="2007"/>
      <sheetName val="2008"/>
      <sheetName val="Notes"/>
      <sheetName val="Waste"/>
    </sheetNames>
    <sheetDataSet>
      <sheetData sheetId="1">
        <row r="1">
          <cell r="A1" t="str">
            <v>Boston Community Greenhouse Gas Inventory</v>
          </cell>
        </row>
        <row r="3">
          <cell r="C3">
            <v>2004</v>
          </cell>
          <cell r="D3" t="str">
            <v>% of Total</v>
          </cell>
          <cell r="E3">
            <v>2005</v>
          </cell>
          <cell r="F3" t="str">
            <v>% of Total</v>
          </cell>
          <cell r="G3">
            <v>2006</v>
          </cell>
          <cell r="H3" t="str">
            <v>% of Total</v>
          </cell>
          <cell r="I3">
            <v>2007</v>
          </cell>
          <cell r="J3" t="str">
            <v>% of Total</v>
          </cell>
          <cell r="K3">
            <v>2008</v>
          </cell>
        </row>
        <row r="41">
          <cell r="C41">
            <v>8116479</v>
          </cell>
          <cell r="E41">
            <v>8427963</v>
          </cell>
          <cell r="G41">
            <v>8050594</v>
          </cell>
          <cell r="I41">
            <v>8542913</v>
          </cell>
          <cell r="K41">
            <v>8630417</v>
          </cell>
        </row>
      </sheetData>
      <sheetData sheetId="2">
        <row r="5">
          <cell r="B5">
            <v>1034714195</v>
          </cell>
        </row>
        <row r="12">
          <cell r="B12">
            <v>4304431861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Boston-in-NSTAR"/>
      <sheetName val="data-GHG"/>
      <sheetName val="NSTAR chart"/>
    </sheetNames>
    <sheetDataSet>
      <sheetData sheetId="1">
        <row r="11">
          <cell r="L11">
            <v>1246359067</v>
          </cell>
        </row>
        <row r="15">
          <cell r="L15">
            <v>6777477877</v>
          </cell>
        </row>
      </sheetData>
      <sheetData sheetId="2">
        <row r="7">
          <cell r="G7">
            <v>76518407</v>
          </cell>
        </row>
        <row r="14">
          <cell r="G14">
            <v>236638842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ol Roof (Residential)"/>
      <sheetName val="Cool Roof (CI)"/>
      <sheetName val="Green Roof (CI)"/>
    </sheetNames>
    <sheetDataSet>
      <sheetData sheetId="0">
        <row r="44">
          <cell r="D44">
            <v>116313726.202872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fboston.gov/climat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B13" sqref="B13"/>
    </sheetView>
  </sheetViews>
  <sheetFormatPr defaultColWidth="9.140625" defaultRowHeight="12.75"/>
  <cols>
    <col min="1" max="1" width="11.57421875" style="0" customWidth="1"/>
  </cols>
  <sheetData>
    <row r="1" s="530" customFormat="1" ht="15">
      <c r="A1" s="529">
        <v>40290</v>
      </c>
    </row>
    <row r="2" s="530" customFormat="1" ht="15.75">
      <c r="A2" s="531" t="s">
        <v>646</v>
      </c>
    </row>
    <row r="3" spans="1:12" s="530" customFormat="1" ht="15">
      <c r="A3" s="530" t="s">
        <v>647</v>
      </c>
      <c r="L3" s="532"/>
    </row>
    <row r="4" s="530" customFormat="1" ht="15"/>
    <row r="5" s="530" customFormat="1" ht="15">
      <c r="A5" s="530" t="s">
        <v>650</v>
      </c>
    </row>
    <row r="6" s="530" customFormat="1" ht="15">
      <c r="A6" s="530" t="s">
        <v>648</v>
      </c>
    </row>
    <row r="7" s="530" customFormat="1" ht="15"/>
    <row r="8" s="530" customFormat="1" ht="15">
      <c r="A8" s="533" t="s">
        <v>654</v>
      </c>
    </row>
    <row r="9" spans="1:2" s="530" customFormat="1" ht="15">
      <c r="A9" s="533"/>
      <c r="B9" s="530" t="s">
        <v>652</v>
      </c>
    </row>
    <row r="10" s="530" customFormat="1" ht="15">
      <c r="A10" s="533" t="s">
        <v>651</v>
      </c>
    </row>
    <row r="11" spans="2:6" s="530" customFormat="1" ht="15">
      <c r="B11" s="534" t="s">
        <v>653</v>
      </c>
      <c r="F11" s="532" t="s">
        <v>649</v>
      </c>
    </row>
  </sheetData>
  <sheetProtection/>
  <hyperlinks>
    <hyperlink ref="F11" r:id="rId1" display="www.cityofboston.gov/climate"/>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sheetData>
    <row r="1" ht="18">
      <c r="A1" s="500" t="s">
        <v>617</v>
      </c>
    </row>
    <row r="2" ht="15.75">
      <c r="A2" s="77" t="s">
        <v>616</v>
      </c>
    </row>
    <row r="4" ht="12.75">
      <c r="A4" s="4" t="s">
        <v>253</v>
      </c>
    </row>
    <row r="5" ht="12.75">
      <c r="A5" t="s">
        <v>252</v>
      </c>
    </row>
    <row r="7" spans="1:2" ht="12.75">
      <c r="A7" t="s">
        <v>180</v>
      </c>
      <c r="B7" t="s">
        <v>181</v>
      </c>
    </row>
    <row r="8" spans="1:2" ht="12.75">
      <c r="A8" s="111">
        <v>2020</v>
      </c>
      <c r="B8" s="112">
        <v>0.18</v>
      </c>
    </row>
    <row r="10" ht="12.75">
      <c r="A10" s="4" t="s">
        <v>214</v>
      </c>
    </row>
    <row r="11" ht="12.75">
      <c r="A11" t="s">
        <v>254</v>
      </c>
    </row>
    <row r="13" spans="1:3" ht="12.75">
      <c r="A13" s="126"/>
      <c r="B13" s="82"/>
      <c r="C13" s="82"/>
    </row>
    <row r="14" spans="1:3" ht="12.75">
      <c r="A14" s="82"/>
      <c r="B14" s="82"/>
      <c r="C14" s="82"/>
    </row>
    <row r="15" spans="1:3" ht="12.75">
      <c r="A15" s="82"/>
      <c r="B15" s="82"/>
      <c r="C15" s="82"/>
    </row>
    <row r="16" spans="1:3" ht="12.75">
      <c r="A16" s="82"/>
      <c r="B16" s="82"/>
      <c r="C16" s="82"/>
    </row>
    <row r="17" spans="1:3" ht="12.75">
      <c r="A17" s="82"/>
      <c r="B17" s="82"/>
      <c r="C17" s="82"/>
    </row>
    <row r="18" spans="1:3" ht="12.75">
      <c r="A18" s="82"/>
      <c r="B18" s="82"/>
      <c r="C18" s="82"/>
    </row>
    <row r="19" spans="1:3" ht="12.75">
      <c r="A19" s="82"/>
      <c r="B19" s="82"/>
      <c r="C19" s="82"/>
    </row>
    <row r="20" spans="1:3" ht="12.75">
      <c r="A20" s="82"/>
      <c r="B20" s="82"/>
      <c r="C20" s="82"/>
    </row>
    <row r="21" spans="1:3" ht="12.75">
      <c r="A21" s="82"/>
      <c r="B21" s="82"/>
      <c r="C21" s="82"/>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N75"/>
  <sheetViews>
    <sheetView zoomScalePageLayoutView="0" workbookViewId="0" topLeftCell="A1">
      <selection activeCell="A1" sqref="A1"/>
    </sheetView>
  </sheetViews>
  <sheetFormatPr defaultColWidth="9.140625" defaultRowHeight="12.75"/>
  <cols>
    <col min="1" max="1" width="18.57421875" style="0" customWidth="1"/>
    <col min="2" max="2" width="9.57421875" style="0" bestFit="1" customWidth="1"/>
    <col min="5" max="5" width="10.8515625" style="0" customWidth="1"/>
  </cols>
  <sheetData>
    <row r="1" ht="18">
      <c r="A1" s="501" t="s">
        <v>627</v>
      </c>
    </row>
    <row r="4" ht="12.75">
      <c r="A4" s="4" t="s">
        <v>184</v>
      </c>
    </row>
    <row r="5" spans="1:2" ht="12.75">
      <c r="A5" t="s">
        <v>185</v>
      </c>
      <c r="B5" s="84">
        <v>254964</v>
      </c>
    </row>
    <row r="6" spans="1:2" ht="12.75">
      <c r="A6" t="s">
        <v>186</v>
      </c>
      <c r="B6" s="84">
        <f>B5-B10</f>
        <v>221148</v>
      </c>
    </row>
    <row r="7" spans="1:2" ht="12.75">
      <c r="A7" t="s">
        <v>187</v>
      </c>
      <c r="B7" s="84">
        <v>25780</v>
      </c>
    </row>
    <row r="8" spans="1:2" ht="12.75">
      <c r="A8" t="s">
        <v>188</v>
      </c>
      <c r="B8" s="84">
        <v>7286</v>
      </c>
    </row>
    <row r="9" spans="1:2" ht="12.75">
      <c r="A9" t="s">
        <v>189</v>
      </c>
      <c r="B9" s="84">
        <v>750</v>
      </c>
    </row>
    <row r="10" spans="1:2" ht="12.75">
      <c r="A10" t="s">
        <v>190</v>
      </c>
      <c r="B10" s="84">
        <f>SUM(B7:B9)</f>
        <v>33816</v>
      </c>
    </row>
    <row r="12" spans="1:2" ht="12.75">
      <c r="A12" t="s">
        <v>191</v>
      </c>
      <c r="B12" s="110">
        <f>B10/B5</f>
        <v>0.1326304890102132</v>
      </c>
    </row>
    <row r="13" ht="12.75">
      <c r="B13" s="110"/>
    </row>
    <row r="15" spans="1:14" ht="12.75">
      <c r="A15" s="4" t="s">
        <v>192</v>
      </c>
      <c r="B15" s="2"/>
      <c r="E15" s="4" t="s">
        <v>193</v>
      </c>
      <c r="L15" s="126"/>
      <c r="M15" s="82"/>
      <c r="N15" s="82"/>
    </row>
    <row r="16" spans="1:14" ht="12.75">
      <c r="A16" t="s">
        <v>194</v>
      </c>
      <c r="B16" s="2">
        <v>0.25</v>
      </c>
      <c r="E16" t="s">
        <v>195</v>
      </c>
      <c r="F16" s="2">
        <f>B20</f>
        <v>0.25</v>
      </c>
      <c r="L16" s="82"/>
      <c r="M16" s="82"/>
      <c r="N16" s="82"/>
    </row>
    <row r="17" spans="1:14" ht="12.75">
      <c r="A17" t="s">
        <v>191</v>
      </c>
      <c r="B17" s="2">
        <f>B12+B16</f>
        <v>0.38263048901021324</v>
      </c>
      <c r="E17" t="s">
        <v>196</v>
      </c>
      <c r="F17" s="2">
        <f>B28</f>
        <v>0.09</v>
      </c>
      <c r="L17" s="82"/>
      <c r="M17" s="82"/>
      <c r="N17" s="82"/>
    </row>
    <row r="18" spans="1:14" ht="12.75">
      <c r="A18" t="s">
        <v>197</v>
      </c>
      <c r="B18" s="92">
        <f>B6-(B6*0.2)</f>
        <v>176918.4</v>
      </c>
      <c r="E18" s="111" t="s">
        <v>198</v>
      </c>
      <c r="F18" s="112">
        <f>SUM(F16:F17)</f>
        <v>0.33999999999999997</v>
      </c>
      <c r="G18" t="s">
        <v>199</v>
      </c>
      <c r="L18" s="82"/>
      <c r="M18" s="82"/>
      <c r="N18" s="82"/>
    </row>
    <row r="19" spans="1:14" ht="12.75">
      <c r="A19" t="s">
        <v>200</v>
      </c>
      <c r="B19" s="2">
        <v>0.2</v>
      </c>
      <c r="L19" s="82"/>
      <c r="M19" s="82"/>
      <c r="N19" s="82"/>
    </row>
    <row r="20" spans="1:14" ht="12.75">
      <c r="A20" s="111" t="s">
        <v>201</v>
      </c>
      <c r="B20" s="112">
        <v>0.25</v>
      </c>
      <c r="L20" s="82"/>
      <c r="M20" s="82"/>
      <c r="N20" s="82"/>
    </row>
    <row r="21" spans="5:14" ht="15.75">
      <c r="E21" s="84">
        <v>46050</v>
      </c>
      <c r="F21" t="s">
        <v>202</v>
      </c>
      <c r="L21" s="82"/>
      <c r="M21" s="82"/>
      <c r="N21" s="82"/>
    </row>
    <row r="22" spans="5:14" ht="12.75">
      <c r="E22" s="84">
        <v>8630417</v>
      </c>
      <c r="F22" t="s">
        <v>203</v>
      </c>
      <c r="L22" s="82"/>
      <c r="M22" s="82"/>
      <c r="N22" s="82"/>
    </row>
    <row r="23" spans="1:14" ht="12.75">
      <c r="A23" s="4" t="s">
        <v>204</v>
      </c>
      <c r="E23" s="110">
        <v>0.005</v>
      </c>
      <c r="F23" t="s">
        <v>205</v>
      </c>
      <c r="L23" s="82"/>
      <c r="M23" s="82"/>
      <c r="N23" s="82"/>
    </row>
    <row r="24" spans="1:2" ht="12.75">
      <c r="A24" t="s">
        <v>206</v>
      </c>
      <c r="B24" s="92">
        <f>B5*0.13</f>
        <v>33145.32</v>
      </c>
    </row>
    <row r="25" spans="1:6" ht="12.75">
      <c r="A25" t="s">
        <v>207</v>
      </c>
      <c r="B25" s="92">
        <f>B24*0.66</f>
        <v>21875.911200000002</v>
      </c>
      <c r="E25" s="113">
        <f>E23*F18</f>
        <v>0.0017</v>
      </c>
      <c r="F25" s="82" t="s">
        <v>208</v>
      </c>
    </row>
    <row r="26" spans="1:2" ht="12.75">
      <c r="A26" t="s">
        <v>209</v>
      </c>
      <c r="B26" s="110">
        <f>B25/B5</f>
        <v>0.08580000000000002</v>
      </c>
    </row>
    <row r="27" spans="1:2" ht="12.75">
      <c r="A27" t="s">
        <v>200</v>
      </c>
      <c r="B27" s="110">
        <v>0.09</v>
      </c>
    </row>
    <row r="28" spans="1:6" ht="12.75">
      <c r="A28" s="111" t="s">
        <v>201</v>
      </c>
      <c r="B28" s="114">
        <v>0.09</v>
      </c>
      <c r="E28" s="2">
        <v>0.5</v>
      </c>
      <c r="F28" t="s">
        <v>210</v>
      </c>
    </row>
    <row r="29" spans="5:6" ht="12.75">
      <c r="E29" s="2">
        <f>B12+B20+B28</f>
        <v>0.4726304890102132</v>
      </c>
      <c r="F29" t="s">
        <v>211</v>
      </c>
    </row>
    <row r="30" spans="5:6" ht="12.75">
      <c r="E30" s="2">
        <f>E28-E29</f>
        <v>0.027369510989786794</v>
      </c>
      <c r="F30" t="s">
        <v>120</v>
      </c>
    </row>
    <row r="31" spans="5:6" ht="12.75">
      <c r="E31" s="2">
        <f>E28-B12</f>
        <v>0.36736951098978676</v>
      </c>
      <c r="F31" t="s">
        <v>212</v>
      </c>
    </row>
    <row r="33" spans="5:6" ht="12.75">
      <c r="E33" s="115">
        <f>E23*E31</f>
        <v>0.0018368475549489338</v>
      </c>
      <c r="F33" t="s">
        <v>213</v>
      </c>
    </row>
    <row r="37" ht="12.75">
      <c r="A37" s="4" t="s">
        <v>214</v>
      </c>
    </row>
    <row r="38" ht="12.75">
      <c r="A38" t="s">
        <v>258</v>
      </c>
    </row>
    <row r="39" ht="12.75">
      <c r="A39" t="s">
        <v>235</v>
      </c>
    </row>
    <row r="40" ht="12.75">
      <c r="A40" t="s">
        <v>215</v>
      </c>
    </row>
    <row r="41" ht="12.75">
      <c r="A41" t="s">
        <v>216</v>
      </c>
    </row>
    <row r="42" ht="12.75">
      <c r="A42" t="s">
        <v>217</v>
      </c>
    </row>
    <row r="43" ht="12.75">
      <c r="A43" t="s">
        <v>218</v>
      </c>
    </row>
    <row r="45" ht="12.75">
      <c r="A45" s="4" t="s">
        <v>249</v>
      </c>
    </row>
    <row r="46" ht="12.75">
      <c r="A46" t="s">
        <v>236</v>
      </c>
    </row>
    <row r="47" ht="12.75">
      <c r="A47" t="s">
        <v>237</v>
      </c>
    </row>
    <row r="52" ht="15.75">
      <c r="A52" s="77" t="s">
        <v>219</v>
      </c>
    </row>
    <row r="54" spans="1:12" ht="12.75">
      <c r="A54">
        <v>4840000</v>
      </c>
      <c r="B54" t="s">
        <v>224</v>
      </c>
      <c r="J54" s="126"/>
      <c r="K54" s="82"/>
      <c r="L54" s="82"/>
    </row>
    <row r="55" spans="1:12" ht="12.75">
      <c r="A55" s="60">
        <v>1480000</v>
      </c>
      <c r="B55" t="s">
        <v>225</v>
      </c>
      <c r="J55" s="82"/>
      <c r="K55" s="82"/>
      <c r="L55" s="82"/>
    </row>
    <row r="56" spans="1:12" ht="12.75">
      <c r="A56">
        <v>340000</v>
      </c>
      <c r="B56" t="s">
        <v>226</v>
      </c>
      <c r="J56" s="82"/>
      <c r="K56" s="82"/>
      <c r="L56" s="82"/>
    </row>
    <row r="57" spans="1:12" ht="12.75">
      <c r="A57" s="121">
        <f>SUM(A55:A56)</f>
        <v>1820000</v>
      </c>
      <c r="B57" t="s">
        <v>227</v>
      </c>
      <c r="J57" s="82"/>
      <c r="K57" s="82"/>
      <c r="L57" s="82"/>
    </row>
    <row r="58" spans="1:12" ht="12.75">
      <c r="A58" s="110">
        <f>A57/A54</f>
        <v>0.3760330578512397</v>
      </c>
      <c r="B58" t="s">
        <v>229</v>
      </c>
      <c r="J58" s="82"/>
      <c r="K58" s="82"/>
      <c r="L58" s="82"/>
    </row>
    <row r="59" spans="1:12" ht="12.75">
      <c r="A59" s="112">
        <f>70%-A58</f>
        <v>0.32396694214876026</v>
      </c>
      <c r="B59" s="74" t="s">
        <v>231</v>
      </c>
      <c r="C59" s="74"/>
      <c r="D59" s="74"/>
      <c r="E59" s="74"/>
      <c r="F59" s="74"/>
      <c r="G59" s="74"/>
      <c r="J59" s="82"/>
      <c r="K59" s="82"/>
      <c r="L59" s="82"/>
    </row>
    <row r="60" spans="10:12" ht="12.75">
      <c r="J60" s="82"/>
      <c r="K60" s="82"/>
      <c r="L60" s="82"/>
    </row>
    <row r="61" spans="2:12" ht="12.75">
      <c r="B61" s="120"/>
      <c r="J61" s="82"/>
      <c r="K61" s="82"/>
      <c r="L61" s="82"/>
    </row>
    <row r="62" spans="10:12" ht="12.75">
      <c r="J62" s="82"/>
      <c r="K62" s="82"/>
      <c r="L62" s="82"/>
    </row>
    <row r="66" ht="12.75">
      <c r="A66" s="4" t="s">
        <v>214</v>
      </c>
    </row>
    <row r="67" ht="12.75">
      <c r="A67" t="s">
        <v>223</v>
      </c>
    </row>
    <row r="68" ht="12.75">
      <c r="A68" t="s">
        <v>228</v>
      </c>
    </row>
    <row r="69" ht="12.75">
      <c r="A69" t="s">
        <v>230</v>
      </c>
    </row>
    <row r="70" ht="12.75">
      <c r="A70" t="s">
        <v>232</v>
      </c>
    </row>
    <row r="73" ht="12.75">
      <c r="A73" s="4" t="s">
        <v>253</v>
      </c>
    </row>
    <row r="74" ht="12.75">
      <c r="A74" t="s">
        <v>233</v>
      </c>
    </row>
    <row r="75" ht="12.75">
      <c r="A75" t="s">
        <v>234</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2.75"/>
  <sheetData>
    <row r="1" ht="18">
      <c r="A1" s="3" t="s">
        <v>618</v>
      </c>
    </row>
    <row r="2" s="94" customFormat="1" ht="12.75"/>
    <row r="3" spans="1:4" s="94" customFormat="1" ht="12.75">
      <c r="A3" s="112">
        <v>0.05</v>
      </c>
      <c r="B3" s="111" t="s">
        <v>621</v>
      </c>
      <c r="C3" s="111"/>
      <c r="D3" s="111"/>
    </row>
    <row r="5" ht="12.75">
      <c r="A5" s="4" t="s">
        <v>214</v>
      </c>
    </row>
    <row r="6" ht="12.75">
      <c r="A6" t="s">
        <v>619</v>
      </c>
    </row>
    <row r="7" ht="12.75">
      <c r="A7" t="s">
        <v>268</v>
      </c>
    </row>
    <row r="8" ht="12.75">
      <c r="A8" t="s">
        <v>620</v>
      </c>
    </row>
    <row r="9" ht="12.75">
      <c r="A9" t="s">
        <v>269</v>
      </c>
    </row>
    <row r="10" ht="12.75">
      <c r="A10" t="s">
        <v>19</v>
      </c>
    </row>
    <row r="11" ht="12.75">
      <c r="A11" t="s">
        <v>18</v>
      </c>
    </row>
    <row r="13" ht="12.75">
      <c r="A13" s="4" t="s">
        <v>270</v>
      </c>
    </row>
    <row r="14" spans="1:4" ht="12.75">
      <c r="A14" s="82" t="s">
        <v>271</v>
      </c>
      <c r="B14" s="82"/>
      <c r="C14" s="82"/>
      <c r="D14" s="8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3"/>
  <sheetViews>
    <sheetView zoomScalePageLayoutView="0" workbookViewId="0" topLeftCell="A1">
      <selection activeCell="A1" sqref="A1"/>
    </sheetView>
  </sheetViews>
  <sheetFormatPr defaultColWidth="9.140625" defaultRowHeight="12.75"/>
  <cols>
    <col min="1" max="1" width="20.140625" style="0" customWidth="1"/>
    <col min="2" max="2" width="34.140625" style="0" customWidth="1"/>
    <col min="3" max="3" width="19.00390625" style="0" customWidth="1"/>
  </cols>
  <sheetData>
    <row r="1" ht="18">
      <c r="A1" s="3" t="s">
        <v>382</v>
      </c>
    </row>
    <row r="4" ht="12.75">
      <c r="F4">
        <f>+C12*F7*365</f>
        <v>3983.2019186850002</v>
      </c>
    </row>
    <row r="5" spans="1:6" ht="25.5">
      <c r="A5" s="206" t="s">
        <v>367</v>
      </c>
      <c r="B5" s="206" t="s">
        <v>368</v>
      </c>
      <c r="C5" t="s">
        <v>386</v>
      </c>
      <c r="F5" t="s">
        <v>622</v>
      </c>
    </row>
    <row r="6" spans="1:7" ht="12.75">
      <c r="A6" s="207" t="s">
        <v>369</v>
      </c>
      <c r="B6" s="207" t="s">
        <v>370</v>
      </c>
      <c r="C6">
        <f>0.5*F8</f>
        <v>0.000551155655</v>
      </c>
      <c r="F6" s="84">
        <v>600000</v>
      </c>
      <c r="G6" t="s">
        <v>424</v>
      </c>
    </row>
    <row r="7" spans="1:7" ht="12.75">
      <c r="A7" s="207" t="s">
        <v>371</v>
      </c>
      <c r="B7" s="207" t="s">
        <v>372</v>
      </c>
      <c r="C7">
        <f>0.07*F8</f>
        <v>7.716179170000001E-05</v>
      </c>
      <c r="F7">
        <f>F6*0.1</f>
        <v>60000</v>
      </c>
      <c r="G7" t="s">
        <v>383</v>
      </c>
    </row>
    <row r="8" spans="1:7" ht="12.75">
      <c r="A8" s="207" t="s">
        <v>373</v>
      </c>
      <c r="B8" s="207" t="s">
        <v>374</v>
      </c>
      <c r="C8">
        <f>0.08*F8</f>
        <v>8.81849048E-05</v>
      </c>
      <c r="F8">
        <v>0.00110231131</v>
      </c>
      <c r="G8" t="s">
        <v>387</v>
      </c>
    </row>
    <row r="9" spans="1:7" ht="12.75">
      <c r="A9" s="207" t="s">
        <v>375</v>
      </c>
      <c r="B9" s="207" t="s">
        <v>376</v>
      </c>
      <c r="C9">
        <f>0.09*F8</f>
        <v>9.92080179E-05</v>
      </c>
      <c r="F9">
        <f>C12*5*261*F7</f>
        <v>14241.310969545002</v>
      </c>
      <c r="G9" t="s">
        <v>388</v>
      </c>
    </row>
    <row r="10" spans="1:11" ht="12.75">
      <c r="A10" s="207" t="s">
        <v>377</v>
      </c>
      <c r="B10" s="207" t="s">
        <v>378</v>
      </c>
      <c r="C10">
        <f>0.12*F8</f>
        <v>0.0001322773572</v>
      </c>
      <c r="F10" s="111">
        <f>+F9*0.25</f>
        <v>3560.3277423862505</v>
      </c>
      <c r="G10" s="111" t="s">
        <v>458</v>
      </c>
      <c r="H10" s="111"/>
      <c r="I10" s="111"/>
      <c r="J10" s="82"/>
      <c r="K10" s="82"/>
    </row>
    <row r="11" spans="1:3" ht="12.75">
      <c r="A11" s="207" t="s">
        <v>379</v>
      </c>
      <c r="B11" s="207" t="s">
        <v>380</v>
      </c>
      <c r="C11">
        <f>0.13*F8</f>
        <v>0.0001433004703</v>
      </c>
    </row>
    <row r="12" spans="3:9" ht="12.75">
      <c r="C12" s="4">
        <f>AVERAGE(C6:C11)</f>
        <v>0.00018188136615000002</v>
      </c>
      <c r="D12" s="4" t="s">
        <v>391</v>
      </c>
      <c r="F12" s="82"/>
      <c r="G12" s="82"/>
      <c r="H12" s="82"/>
      <c r="I12" s="82"/>
    </row>
    <row r="13" ht="12.75">
      <c r="A13" s="209" t="s">
        <v>270</v>
      </c>
    </row>
    <row r="14" ht="12.75">
      <c r="A14" s="208" t="s">
        <v>381</v>
      </c>
    </row>
    <row r="16" ht="12.75">
      <c r="A16" s="4" t="s">
        <v>214</v>
      </c>
    </row>
    <row r="17" ht="12.75">
      <c r="A17" t="s">
        <v>389</v>
      </c>
    </row>
    <row r="18" ht="12.75">
      <c r="A18" t="s">
        <v>425</v>
      </c>
    </row>
    <row r="19" ht="12.75">
      <c r="A19" t="s">
        <v>390</v>
      </c>
    </row>
    <row r="20" ht="12.75">
      <c r="A20" t="s">
        <v>384</v>
      </c>
    </row>
    <row r="21" ht="12.75">
      <c r="A21" t="s">
        <v>385</v>
      </c>
    </row>
    <row r="22" ht="12.75">
      <c r="A22" t="s">
        <v>426</v>
      </c>
    </row>
    <row r="23" ht="12.75">
      <c r="A23" t="s">
        <v>457</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W65"/>
  <sheetViews>
    <sheetView zoomScalePageLayoutView="0" workbookViewId="0" topLeftCell="A1">
      <selection activeCell="K2" sqref="K2"/>
    </sheetView>
  </sheetViews>
  <sheetFormatPr defaultColWidth="9.140625" defaultRowHeight="12.75"/>
  <cols>
    <col min="1" max="1" width="15.421875" style="0" customWidth="1"/>
    <col min="2" max="2" width="8.00390625" style="0" customWidth="1"/>
    <col min="4" max="4" width="12.28125" style="0" customWidth="1"/>
    <col min="10" max="10" width="12.28125" style="0" bestFit="1" customWidth="1"/>
    <col min="11" max="11" width="12.140625" style="0" customWidth="1"/>
    <col min="14" max="14" width="12.7109375" style="0" customWidth="1"/>
  </cols>
  <sheetData>
    <row r="1" spans="1:11" ht="18">
      <c r="A1" s="3" t="s">
        <v>626</v>
      </c>
      <c r="K1" s="3" t="s">
        <v>633</v>
      </c>
    </row>
    <row r="2" spans="12:23" s="4" customFormat="1" ht="12.75">
      <c r="L2"/>
      <c r="M2"/>
      <c r="N2"/>
      <c r="O2"/>
      <c r="P2"/>
      <c r="Q2"/>
      <c r="R2"/>
      <c r="S2"/>
      <c r="T2"/>
      <c r="U2"/>
      <c r="V2"/>
      <c r="W2"/>
    </row>
    <row r="4" spans="1:17" ht="12.75">
      <c r="A4" s="152" t="s">
        <v>10</v>
      </c>
      <c r="B4" s="228"/>
      <c r="C4" s="217"/>
      <c r="D4" s="217"/>
      <c r="E4" s="217"/>
      <c r="F4" s="217"/>
      <c r="G4" s="217"/>
      <c r="K4" s="152" t="s">
        <v>10</v>
      </c>
      <c r="L4" s="229"/>
      <c r="M4" s="152"/>
      <c r="N4" s="152"/>
      <c r="O4" s="152"/>
      <c r="P4" s="152"/>
      <c r="Q4" s="152"/>
    </row>
    <row r="5" spans="1:13" ht="12.75">
      <c r="A5" s="82"/>
      <c r="B5" s="150">
        <v>0.056</v>
      </c>
      <c r="C5" t="s">
        <v>419</v>
      </c>
      <c r="L5" s="150">
        <f>+B5</f>
        <v>0.056</v>
      </c>
      <c r="M5" t="s">
        <v>395</v>
      </c>
    </row>
    <row r="6" spans="2:13" ht="12.75">
      <c r="B6" s="2">
        <v>0.1</v>
      </c>
      <c r="C6" t="s">
        <v>396</v>
      </c>
      <c r="L6" s="2">
        <v>0.5</v>
      </c>
      <c r="M6" t="s">
        <v>397</v>
      </c>
    </row>
    <row r="7" spans="2:13" ht="12.75">
      <c r="B7" s="2">
        <v>0.15</v>
      </c>
      <c r="C7" t="s">
        <v>398</v>
      </c>
      <c r="L7" s="212">
        <v>0.2</v>
      </c>
      <c r="M7" t="s">
        <v>399</v>
      </c>
    </row>
    <row r="9" spans="2:13" ht="12.75">
      <c r="B9" s="213">
        <f>B5*B6*B7</f>
        <v>0.0008400000000000001</v>
      </c>
      <c r="C9" t="s">
        <v>2</v>
      </c>
      <c r="L9" s="213">
        <f>L5*L6*L7</f>
        <v>0.005600000000000001</v>
      </c>
      <c r="M9" t="s">
        <v>2</v>
      </c>
    </row>
    <row r="10" spans="2:13" ht="12.75">
      <c r="B10">
        <v>7.5</v>
      </c>
      <c r="C10" t="s">
        <v>13</v>
      </c>
      <c r="L10">
        <v>5</v>
      </c>
      <c r="M10" t="s">
        <v>400</v>
      </c>
    </row>
    <row r="12" spans="2:13" ht="12.75">
      <c r="B12" s="125">
        <f>B9*B10</f>
        <v>0.006300000000000001</v>
      </c>
      <c r="C12" t="s">
        <v>3</v>
      </c>
      <c r="L12" s="125">
        <f>L9*L10</f>
        <v>0.028000000000000004</v>
      </c>
      <c r="M12" t="s">
        <v>3</v>
      </c>
    </row>
    <row r="13" spans="2:13" ht="12.75">
      <c r="B13" s="125">
        <v>0.066</v>
      </c>
      <c r="C13" t="s">
        <v>401</v>
      </c>
      <c r="L13" s="125">
        <v>0.066</v>
      </c>
      <c r="M13" t="s">
        <v>401</v>
      </c>
    </row>
    <row r="15" spans="2:13" s="4" customFormat="1" ht="12.75">
      <c r="B15" s="214">
        <f>B12*B13</f>
        <v>0.0004158000000000001</v>
      </c>
      <c r="C15" s="4" t="s">
        <v>422</v>
      </c>
      <c r="L15" s="214">
        <f>L12*L13</f>
        <v>0.0018480000000000003</v>
      </c>
      <c r="M15" s="4" t="s">
        <v>402</v>
      </c>
    </row>
    <row r="17" spans="1:17" ht="12.75">
      <c r="A17" s="152" t="s">
        <v>11</v>
      </c>
      <c r="B17" s="217"/>
      <c r="C17" s="217"/>
      <c r="D17" s="217"/>
      <c r="E17" s="217"/>
      <c r="F17" s="217"/>
      <c r="G17" s="217"/>
      <c r="K17" s="152" t="s">
        <v>12</v>
      </c>
      <c r="L17" s="152"/>
      <c r="M17" s="152"/>
      <c r="N17" s="152"/>
      <c r="O17" s="152"/>
      <c r="P17" s="152"/>
      <c r="Q17" s="152"/>
    </row>
    <row r="18" spans="2:13" ht="12.75">
      <c r="B18" s="150">
        <f>+B5</f>
        <v>0.056</v>
      </c>
      <c r="C18" t="s">
        <v>395</v>
      </c>
      <c r="L18" s="150">
        <f>L5</f>
        <v>0.056</v>
      </c>
      <c r="M18" t="s">
        <v>395</v>
      </c>
    </row>
    <row r="19" spans="2:13" ht="12.75">
      <c r="B19" s="2">
        <f>B6</f>
        <v>0.1</v>
      </c>
      <c r="C19" t="s">
        <v>396</v>
      </c>
      <c r="L19" s="2">
        <f>L6</f>
        <v>0.5</v>
      </c>
      <c r="M19" t="s">
        <v>397</v>
      </c>
    </row>
    <row r="20" spans="2:13" ht="12.75">
      <c r="B20" s="2">
        <v>0.1</v>
      </c>
      <c r="C20" t="s">
        <v>421</v>
      </c>
      <c r="K20" s="82"/>
      <c r="L20" s="95">
        <v>0.15</v>
      </c>
      <c r="M20" t="s">
        <v>403</v>
      </c>
    </row>
    <row r="22" spans="2:13" ht="12.75">
      <c r="B22" s="213">
        <f>B18*B19*B20</f>
        <v>0.0005600000000000001</v>
      </c>
      <c r="C22" t="s">
        <v>4</v>
      </c>
      <c r="L22" s="213">
        <f>L18*L19*L20</f>
        <v>0.0042</v>
      </c>
      <c r="M22" t="s">
        <v>4</v>
      </c>
    </row>
    <row r="23" spans="1:13" ht="12.75">
      <c r="A23" s="82"/>
      <c r="B23" s="82">
        <v>7.5</v>
      </c>
      <c r="C23" t="s">
        <v>13</v>
      </c>
      <c r="L23">
        <f>L10</f>
        <v>5</v>
      </c>
      <c r="M23" t="s">
        <v>400</v>
      </c>
    </row>
    <row r="25" spans="2:13" ht="12.75">
      <c r="B25" s="125">
        <f>B22*B23</f>
        <v>0.004200000000000001</v>
      </c>
      <c r="C25" t="s">
        <v>5</v>
      </c>
      <c r="L25" s="125">
        <f>L22*L23</f>
        <v>0.020999999999999998</v>
      </c>
      <c r="M25" t="s">
        <v>14</v>
      </c>
    </row>
    <row r="26" spans="2:13" ht="12.75">
      <c r="B26" s="1">
        <v>0.1</v>
      </c>
      <c r="C26" t="s">
        <v>404</v>
      </c>
      <c r="L26" s="1">
        <v>0.1</v>
      </c>
      <c r="M26" t="s">
        <v>404</v>
      </c>
    </row>
    <row r="28" spans="2:13" s="4" customFormat="1" ht="12.75">
      <c r="B28" s="214">
        <f>B25*B26</f>
        <v>0.00042000000000000007</v>
      </c>
      <c r="C28" s="4" t="s">
        <v>422</v>
      </c>
      <c r="L28" s="214">
        <f>L25*L26</f>
        <v>0.0021</v>
      </c>
      <c r="M28" s="4" t="s">
        <v>402</v>
      </c>
    </row>
    <row r="30" spans="1:17" ht="12.75">
      <c r="A30" s="152" t="s">
        <v>405</v>
      </c>
      <c r="B30" s="217"/>
      <c r="C30" s="217"/>
      <c r="D30" s="217"/>
      <c r="E30" s="217"/>
      <c r="F30" s="217"/>
      <c r="G30" s="217"/>
      <c r="K30" s="152" t="s">
        <v>405</v>
      </c>
      <c r="L30" s="152"/>
      <c r="M30" s="152"/>
      <c r="N30" s="152"/>
      <c r="O30" s="152"/>
      <c r="P30" s="152"/>
      <c r="Q30" s="152"/>
    </row>
    <row r="31" spans="11:13" ht="12.75">
      <c r="K31" s="82"/>
      <c r="L31" s="150">
        <v>0.044</v>
      </c>
      <c r="M31" t="s">
        <v>406</v>
      </c>
    </row>
    <row r="32" spans="2:13" ht="12.75">
      <c r="B32" s="95">
        <v>0.01</v>
      </c>
      <c r="C32" t="s">
        <v>420</v>
      </c>
      <c r="I32" s="82"/>
      <c r="L32" s="2">
        <v>0.5</v>
      </c>
      <c r="M32" t="s">
        <v>407</v>
      </c>
    </row>
    <row r="33" spans="2:13" ht="12.75">
      <c r="B33" s="2">
        <v>0.1</v>
      </c>
      <c r="C33" t="s">
        <v>398</v>
      </c>
      <c r="L33" s="2">
        <v>0.15</v>
      </c>
      <c r="M33" t="s">
        <v>398</v>
      </c>
    </row>
    <row r="35" spans="2:13" ht="12.75">
      <c r="B35" s="125">
        <f>B32*B33</f>
        <v>0.001</v>
      </c>
      <c r="C35" t="s">
        <v>6</v>
      </c>
      <c r="L35" s="125">
        <f>L31*L32*L33</f>
        <v>0.0032999999999999995</v>
      </c>
      <c r="M35" t="s">
        <v>15</v>
      </c>
    </row>
    <row r="36" spans="1:13" ht="12.75">
      <c r="A36" s="82"/>
      <c r="B36" s="82">
        <v>10</v>
      </c>
      <c r="C36" t="s">
        <v>17</v>
      </c>
      <c r="L36">
        <v>10</v>
      </c>
      <c r="M36" t="s">
        <v>408</v>
      </c>
    </row>
    <row r="38" spans="2:13" ht="12.75">
      <c r="B38" s="125">
        <f>B35*B36</f>
        <v>0.01</v>
      </c>
      <c r="C38" t="s">
        <v>7</v>
      </c>
      <c r="L38" s="125">
        <f>L35*L36</f>
        <v>0.032999999999999995</v>
      </c>
      <c r="M38" t="s">
        <v>16</v>
      </c>
    </row>
    <row r="39" spans="2:13" ht="12.75">
      <c r="B39" s="1">
        <v>0.293</v>
      </c>
      <c r="C39" t="s">
        <v>409</v>
      </c>
      <c r="L39" s="1">
        <v>0.293</v>
      </c>
      <c r="M39" t="s">
        <v>409</v>
      </c>
    </row>
    <row r="40" spans="1:23" s="4" customFormat="1" ht="12.75">
      <c r="A40"/>
      <c r="B40"/>
      <c r="C40"/>
      <c r="D40"/>
      <c r="K40"/>
      <c r="L40"/>
      <c r="M40"/>
      <c r="N40"/>
      <c r="O40"/>
      <c r="P40"/>
      <c r="Q40"/>
      <c r="R40"/>
      <c r="S40"/>
      <c r="T40"/>
      <c r="U40"/>
      <c r="V40"/>
      <c r="W40"/>
    </row>
    <row r="41" spans="1:23" ht="12.75">
      <c r="A41" s="4"/>
      <c r="B41" s="115">
        <f>B38*B39</f>
        <v>0.00293</v>
      </c>
      <c r="C41" s="4" t="str">
        <f>C15</f>
        <v>reduction in annual GHG emissions in 2020</v>
      </c>
      <c r="D41" s="4"/>
      <c r="K41" s="4"/>
      <c r="L41" s="115">
        <f>L38*L39</f>
        <v>0.009668999999999997</v>
      </c>
      <c r="M41" s="4" t="s">
        <v>402</v>
      </c>
      <c r="N41" s="4"/>
      <c r="O41" s="4"/>
      <c r="P41" s="4"/>
      <c r="Q41" s="4"/>
      <c r="R41" s="4"/>
      <c r="S41" s="4"/>
      <c r="T41" s="4"/>
      <c r="U41" s="4"/>
      <c r="V41" s="4"/>
      <c r="W41" s="4"/>
    </row>
    <row r="43" spans="1:17" ht="12.75">
      <c r="A43" s="152" t="s">
        <v>410</v>
      </c>
      <c r="B43" s="217"/>
      <c r="C43" s="217"/>
      <c r="D43" s="217"/>
      <c r="E43" s="217"/>
      <c r="F43" s="217"/>
      <c r="G43" s="217"/>
      <c r="K43" s="152" t="s">
        <v>410</v>
      </c>
      <c r="L43" s="152"/>
      <c r="M43" s="152"/>
      <c r="N43" s="152"/>
      <c r="O43" s="152"/>
      <c r="P43" s="152"/>
      <c r="Q43" s="152"/>
    </row>
    <row r="44" spans="11:13" ht="12.75">
      <c r="K44" s="215"/>
      <c r="L44" s="150">
        <f>L31</f>
        <v>0.044</v>
      </c>
      <c r="M44" t="s">
        <v>406</v>
      </c>
    </row>
    <row r="45" spans="2:13" ht="12.75">
      <c r="B45" s="95">
        <v>0.01</v>
      </c>
      <c r="C45" t="s">
        <v>420</v>
      </c>
      <c r="L45" s="2">
        <f>L32</f>
        <v>0.5</v>
      </c>
      <c r="M45" t="s">
        <v>407</v>
      </c>
    </row>
    <row r="46" spans="2:13" ht="12.75">
      <c r="B46" s="2">
        <v>0.1</v>
      </c>
      <c r="C46" t="s">
        <v>403</v>
      </c>
      <c r="K46" s="82"/>
      <c r="L46" s="95">
        <v>0.15</v>
      </c>
      <c r="M46" t="s">
        <v>403</v>
      </c>
    </row>
    <row r="47" spans="11:12" ht="12.75">
      <c r="K47" s="82"/>
      <c r="L47" s="82"/>
    </row>
    <row r="48" spans="2:13" ht="12.75">
      <c r="B48" s="125">
        <f>B45*B46</f>
        <v>0.001</v>
      </c>
      <c r="C48" t="s">
        <v>8</v>
      </c>
      <c r="L48" s="125">
        <f>L44*L45*L46</f>
        <v>0.0032999999999999995</v>
      </c>
      <c r="M48" t="s">
        <v>8</v>
      </c>
    </row>
    <row r="49" spans="1:13" ht="12.75">
      <c r="A49" s="82"/>
      <c r="B49" s="82">
        <f>B36</f>
        <v>10</v>
      </c>
      <c r="C49" t="s">
        <v>17</v>
      </c>
      <c r="L49">
        <v>5</v>
      </c>
      <c r="M49" t="s">
        <v>408</v>
      </c>
    </row>
    <row r="51" spans="2:13" ht="12.75">
      <c r="B51" s="125">
        <f>B48*B49</f>
        <v>0.01</v>
      </c>
      <c r="C51" t="s">
        <v>9</v>
      </c>
      <c r="L51" s="125">
        <f>L48*L49</f>
        <v>0.016499999999999997</v>
      </c>
      <c r="M51" t="s">
        <v>9</v>
      </c>
    </row>
    <row r="52" spans="1:23" s="4" customFormat="1" ht="12.75">
      <c r="A52"/>
      <c r="B52" s="1">
        <v>0.169</v>
      </c>
      <c r="C52" t="s">
        <v>411</v>
      </c>
      <c r="D52"/>
      <c r="K52"/>
      <c r="L52" s="1">
        <v>0.169</v>
      </c>
      <c r="M52" t="s">
        <v>411</v>
      </c>
      <c r="N52"/>
      <c r="O52"/>
      <c r="P52"/>
      <c r="Q52"/>
      <c r="R52"/>
      <c r="S52"/>
      <c r="T52"/>
      <c r="U52"/>
      <c r="V52"/>
      <c r="W52"/>
    </row>
    <row r="53" ht="12.75">
      <c r="A53" s="4"/>
    </row>
    <row r="54" spans="1:13" s="4" customFormat="1" ht="12.75">
      <c r="A54"/>
      <c r="B54" s="115">
        <f>B51*B52</f>
        <v>0.00169</v>
      </c>
      <c r="C54" s="4" t="str">
        <f>C15</f>
        <v>reduction in annual GHG emissions in 2020</v>
      </c>
      <c r="L54" s="115">
        <f>L51*L52</f>
        <v>0.0027884999999999997</v>
      </c>
      <c r="M54" s="4" t="s">
        <v>402</v>
      </c>
    </row>
    <row r="56" spans="1:23" ht="12.75">
      <c r="A56" s="230" t="s">
        <v>40</v>
      </c>
      <c r="B56" s="122">
        <f>B15+B28+B41+B54</f>
        <v>0.0054558</v>
      </c>
      <c r="C56" s="111" t="s">
        <v>412</v>
      </c>
      <c r="D56" s="111"/>
      <c r="E56" s="74"/>
      <c r="F56" s="74"/>
      <c r="G56" s="74"/>
      <c r="H56" s="74"/>
      <c r="K56" s="230" t="s">
        <v>40</v>
      </c>
      <c r="L56" s="122">
        <f>L15+L28+L41+L54</f>
        <v>0.016405499999999996</v>
      </c>
      <c r="M56" s="111" t="s">
        <v>597</v>
      </c>
      <c r="N56" s="111"/>
      <c r="O56" s="111"/>
      <c r="P56" s="111"/>
      <c r="Q56" s="111"/>
      <c r="R56" s="111"/>
      <c r="S56" s="4"/>
      <c r="T56" s="4"/>
      <c r="U56" s="4"/>
      <c r="V56" s="4"/>
      <c r="W56" s="4"/>
    </row>
    <row r="57" spans="3:14" ht="12.75">
      <c r="C57" t="s">
        <v>413</v>
      </c>
      <c r="D57" s="125">
        <f>B15+B41</f>
        <v>0.0033458</v>
      </c>
      <c r="M57" t="s">
        <v>413</v>
      </c>
      <c r="N57" s="125">
        <f>L15+L41</f>
        <v>0.011516999999999998</v>
      </c>
    </row>
    <row r="58" spans="3:14" ht="12.75">
      <c r="C58" t="s">
        <v>414</v>
      </c>
      <c r="D58" s="125">
        <f>B28+B54</f>
        <v>0.0021100000000000003</v>
      </c>
      <c r="M58" t="s">
        <v>414</v>
      </c>
      <c r="N58" s="125">
        <f>L28+L54</f>
        <v>0.0048885</v>
      </c>
    </row>
    <row r="59" spans="3:14" ht="12.75">
      <c r="C59" t="s">
        <v>594</v>
      </c>
      <c r="D59" s="125">
        <f>SUM(D57:D58)</f>
        <v>0.0054558</v>
      </c>
      <c r="M59" t="s">
        <v>594</v>
      </c>
      <c r="N59" s="125">
        <f>SUM(N57:N58)</f>
        <v>0.016405499999999996</v>
      </c>
    </row>
    <row r="60" spans="3:14" ht="12.75">
      <c r="C60" t="s">
        <v>595</v>
      </c>
      <c r="D60" s="2">
        <f>D57/D59</f>
        <v>0.6132556178745555</v>
      </c>
      <c r="M60" t="s">
        <v>595</v>
      </c>
      <c r="N60" s="2">
        <f>N57/N59</f>
        <v>0.7020206638017739</v>
      </c>
    </row>
    <row r="61" spans="3:14" ht="12.75">
      <c r="C61" t="s">
        <v>596</v>
      </c>
      <c r="D61" s="2">
        <f>D58/D59</f>
        <v>0.38674438212544454</v>
      </c>
      <c r="M61" t="s">
        <v>596</v>
      </c>
      <c r="N61" s="2">
        <f>N58/N59</f>
        <v>0.29797933619822625</v>
      </c>
    </row>
    <row r="63" spans="1:4" ht="12.75">
      <c r="A63" s="82"/>
      <c r="B63" s="82"/>
      <c r="C63" s="82"/>
      <c r="D63" s="82"/>
    </row>
    <row r="64" spans="3:14" ht="12.75">
      <c r="C64" t="s">
        <v>415</v>
      </c>
      <c r="D64" s="125">
        <f>B15+B28</f>
        <v>0.0008358000000000001</v>
      </c>
      <c r="M64" t="s">
        <v>415</v>
      </c>
      <c r="N64" s="125">
        <f>L15+L28</f>
        <v>0.003948</v>
      </c>
    </row>
    <row r="65" spans="3:14" ht="12.75">
      <c r="C65" t="s">
        <v>277</v>
      </c>
      <c r="D65" s="125">
        <f>B41+B54</f>
        <v>0.00462</v>
      </c>
      <c r="M65" t="s">
        <v>277</v>
      </c>
      <c r="N65" s="125">
        <f>L41+L54</f>
        <v>0.012457499999999996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AB216"/>
  <sheetViews>
    <sheetView zoomScalePageLayoutView="0" workbookViewId="0" topLeftCell="A1">
      <selection activeCell="B2" sqref="B2"/>
    </sheetView>
  </sheetViews>
  <sheetFormatPr defaultColWidth="9.140625" defaultRowHeight="12.75"/>
  <cols>
    <col min="1" max="1" width="3.28125" style="129" customWidth="1"/>
    <col min="2" max="2" width="33.7109375" style="129" customWidth="1"/>
    <col min="3" max="3" width="12.28125" style="129" customWidth="1"/>
    <col min="4" max="4" width="17.8515625" style="129" customWidth="1"/>
    <col min="5" max="5" width="12.28125" style="129" customWidth="1"/>
    <col min="6" max="6" width="11.7109375" style="129" customWidth="1"/>
    <col min="7" max="7" width="12.7109375" style="129" customWidth="1"/>
    <col min="8" max="9" width="13.57421875" style="129" customWidth="1"/>
    <col min="10" max="10" width="10.28125" style="129" customWidth="1"/>
    <col min="11" max="11" width="12.57421875" style="129" customWidth="1"/>
    <col min="12" max="12" width="16.8515625" style="129" customWidth="1"/>
    <col min="13" max="13" width="14.00390625" style="129" customWidth="1"/>
    <col min="14" max="16384" width="9.140625" style="129" customWidth="1"/>
  </cols>
  <sheetData>
    <row r="1" ht="18">
      <c r="B1" s="502" t="s">
        <v>634</v>
      </c>
    </row>
    <row r="2" ht="15">
      <c r="B2" s="130" t="s">
        <v>623</v>
      </c>
    </row>
    <row r="3" ht="15.75" thickBot="1"/>
    <row r="4" spans="2:7" ht="15">
      <c r="B4" s="372" t="s">
        <v>462</v>
      </c>
      <c r="C4" s="352"/>
      <c r="D4" s="352"/>
      <c r="E4" s="352"/>
      <c r="F4" s="352"/>
      <c r="G4" s="353"/>
    </row>
    <row r="5" spans="2:7" ht="15">
      <c r="B5" s="354" t="s">
        <v>468</v>
      </c>
      <c r="C5" s="142"/>
      <c r="D5" s="142" t="s">
        <v>547</v>
      </c>
      <c r="E5" s="142" t="s">
        <v>278</v>
      </c>
      <c r="F5" s="142" t="s">
        <v>284</v>
      </c>
      <c r="G5" s="355"/>
    </row>
    <row r="6" spans="2:7" ht="15">
      <c r="B6" s="356" t="s">
        <v>285</v>
      </c>
      <c r="C6" s="142"/>
      <c r="D6" s="357">
        <v>15.5</v>
      </c>
      <c r="E6" s="142">
        <v>3412</v>
      </c>
      <c r="F6" s="142">
        <f>D6*E6/1000</f>
        <v>52.886</v>
      </c>
      <c r="G6" s="358">
        <f>F6/$F$8</f>
        <v>0.6620183761860652</v>
      </c>
    </row>
    <row r="7" spans="2:7" ht="15">
      <c r="B7" s="356" t="s">
        <v>282</v>
      </c>
      <c r="C7" s="142"/>
      <c r="D7" s="357">
        <v>0.27</v>
      </c>
      <c r="E7" s="142">
        <v>100000</v>
      </c>
      <c r="F7" s="142">
        <f>D7*E7/1000</f>
        <v>27</v>
      </c>
      <c r="G7" s="358">
        <f>F7/$F$8</f>
        <v>0.3379816238139349</v>
      </c>
    </row>
    <row r="8" spans="2:7" ht="15">
      <c r="B8" s="359" t="s">
        <v>286</v>
      </c>
      <c r="C8" s="142"/>
      <c r="D8" s="136"/>
      <c r="E8" s="142"/>
      <c r="F8" s="142">
        <f>SUM(F6:F7)</f>
        <v>79.886</v>
      </c>
      <c r="G8" s="360"/>
    </row>
    <row r="9" spans="2:7" ht="15">
      <c r="B9" s="361"/>
      <c r="C9" s="142"/>
      <c r="D9" s="136"/>
      <c r="E9" s="142"/>
      <c r="F9" s="142"/>
      <c r="G9" s="360"/>
    </row>
    <row r="10" spans="2:7" ht="15">
      <c r="B10" s="354" t="s">
        <v>469</v>
      </c>
      <c r="C10" s="142"/>
      <c r="D10" s="136"/>
      <c r="E10" s="142"/>
      <c r="F10" s="142"/>
      <c r="G10" s="360"/>
    </row>
    <row r="11" spans="2:7" ht="15">
      <c r="B11" s="356" t="s">
        <v>285</v>
      </c>
      <c r="C11" s="142"/>
      <c r="D11" s="357">
        <v>14</v>
      </c>
      <c r="E11" s="142">
        <v>3412</v>
      </c>
      <c r="F11" s="142">
        <f>D11*E11/1000</f>
        <v>47.768</v>
      </c>
      <c r="G11" s="358">
        <f>F11/$F$13</f>
        <v>0.6564423922603342</v>
      </c>
    </row>
    <row r="12" spans="2:7" ht="15">
      <c r="B12" s="356" t="s">
        <v>282</v>
      </c>
      <c r="C12" s="142"/>
      <c r="D12" s="357">
        <v>0.25</v>
      </c>
      <c r="E12" s="142">
        <v>100000</v>
      </c>
      <c r="F12" s="142">
        <f>D12*E12/1000</f>
        <v>25</v>
      </c>
      <c r="G12" s="358">
        <f>F12/$F$13</f>
        <v>0.34355760773966576</v>
      </c>
    </row>
    <row r="13" spans="2:7" ht="15">
      <c r="B13" s="359" t="s">
        <v>286</v>
      </c>
      <c r="C13" s="142"/>
      <c r="D13" s="142"/>
      <c r="E13" s="142"/>
      <c r="F13" s="142">
        <f>SUM(F11:F12)</f>
        <v>72.768</v>
      </c>
      <c r="G13" s="355"/>
    </row>
    <row r="14" spans="2:7" ht="15">
      <c r="B14" s="361"/>
      <c r="C14" s="142"/>
      <c r="D14" s="362"/>
      <c r="E14" s="142"/>
      <c r="F14" s="363"/>
      <c r="G14" s="355"/>
    </row>
    <row r="15" spans="2:7" ht="15">
      <c r="B15" s="384" t="s">
        <v>572</v>
      </c>
      <c r="C15" s="141"/>
      <c r="D15" s="385">
        <f>D11/D6</f>
        <v>0.9032258064516129</v>
      </c>
      <c r="E15" s="136"/>
      <c r="F15" s="136"/>
      <c r="G15" s="365"/>
    </row>
    <row r="16" spans="2:7" ht="15">
      <c r="B16" s="384" t="s">
        <v>571</v>
      </c>
      <c r="C16" s="141"/>
      <c r="D16" s="385">
        <f>1-D15</f>
        <v>0.09677419354838712</v>
      </c>
      <c r="E16" s="136"/>
      <c r="F16" s="136"/>
      <c r="G16" s="365"/>
    </row>
    <row r="17" spans="2:7" ht="15.75" thickBot="1">
      <c r="B17" s="383" t="s">
        <v>583</v>
      </c>
      <c r="C17" s="366"/>
      <c r="D17" s="366">
        <v>10</v>
      </c>
      <c r="E17" s="367"/>
      <c r="F17" s="367"/>
      <c r="G17" s="368"/>
    </row>
    <row r="18" spans="2:6" ht="15.75" thickBot="1">
      <c r="B18" s="350"/>
      <c r="C18" s="364"/>
      <c r="D18" s="364"/>
      <c r="E18" s="136"/>
      <c r="F18" s="142"/>
    </row>
    <row r="19" spans="2:12" ht="15">
      <c r="B19" s="371" t="s">
        <v>582</v>
      </c>
      <c r="C19" s="379"/>
      <c r="D19" s="382"/>
      <c r="E19" s="352"/>
      <c r="F19" s="352"/>
      <c r="G19" s="352"/>
      <c r="H19" s="352"/>
      <c r="I19" s="352"/>
      <c r="J19" s="353"/>
      <c r="K19" s="142"/>
      <c r="L19" s="142"/>
    </row>
    <row r="20" spans="2:28" s="132" customFormat="1" ht="60">
      <c r="B20" s="369" t="s">
        <v>573</v>
      </c>
      <c r="C20" s="270" t="s">
        <v>574</v>
      </c>
      <c r="D20" s="378" t="s">
        <v>547</v>
      </c>
      <c r="E20" s="270" t="s">
        <v>463</v>
      </c>
      <c r="F20" s="270" t="s">
        <v>567</v>
      </c>
      <c r="G20" s="271" t="s">
        <v>464</v>
      </c>
      <c r="H20" s="272" t="s">
        <v>465</v>
      </c>
      <c r="I20" s="272" t="s">
        <v>466</v>
      </c>
      <c r="J20" s="409" t="s">
        <v>467</v>
      </c>
      <c r="K20" s="380"/>
      <c r="L20" s="142"/>
      <c r="M20" s="142"/>
      <c r="N20" s="142"/>
      <c r="O20" s="142"/>
      <c r="P20" s="142"/>
      <c r="Q20" s="142"/>
      <c r="R20" s="142"/>
      <c r="S20" s="142"/>
      <c r="T20" s="142"/>
      <c r="U20" s="142"/>
      <c r="V20" s="142"/>
      <c r="W20" s="142"/>
      <c r="X20" s="142"/>
      <c r="Y20" s="142"/>
      <c r="Z20" s="142"/>
      <c r="AA20" s="142"/>
      <c r="AB20" s="142"/>
    </row>
    <row r="21" spans="2:12" ht="15">
      <c r="B21" s="356" t="s">
        <v>65</v>
      </c>
      <c r="C21" s="391">
        <f>D16/2</f>
        <v>0.04838709677419356</v>
      </c>
      <c r="D21" s="273">
        <f>C21*D6</f>
        <v>0.7500000000000002</v>
      </c>
      <c r="E21" s="142">
        <v>3412</v>
      </c>
      <c r="F21" s="274">
        <f>D21*E21/1000</f>
        <v>2.559000000000001</v>
      </c>
      <c r="G21" s="136">
        <f>C42*0.01</f>
        <v>4500000</v>
      </c>
      <c r="H21" s="142">
        <f>F21*G21</f>
        <v>11515500.000000006</v>
      </c>
      <c r="I21" s="136">
        <f>H21/E21*0.001</f>
        <v>3.3750000000000018</v>
      </c>
      <c r="J21" s="410">
        <f>+I21/(E36)*D17</f>
        <v>0.0049797285380353325</v>
      </c>
      <c r="K21" s="136"/>
      <c r="L21" s="136"/>
    </row>
    <row r="22" spans="2:12" ht="15">
      <c r="B22" s="370" t="s">
        <v>66</v>
      </c>
      <c r="C22" s="385">
        <f>D16/2</f>
        <v>0.04838709677419356</v>
      </c>
      <c r="D22" s="276">
        <f>C22*D7</f>
        <v>0.013064516129032262</v>
      </c>
      <c r="E22" s="132">
        <v>100000</v>
      </c>
      <c r="F22" s="139">
        <f>D22*E22/1000</f>
        <v>1.3064516129032262</v>
      </c>
      <c r="G22" s="132">
        <f>G21</f>
        <v>4500000</v>
      </c>
      <c r="H22" s="132">
        <f>F22*G22</f>
        <v>5879032.258064518</v>
      </c>
      <c r="I22" s="141">
        <f>H22/E22*1000</f>
        <v>58790.322580645174</v>
      </c>
      <c r="J22" s="411">
        <f>+I22/(E37)*D17</f>
        <v>0.001877341903097545</v>
      </c>
      <c r="K22" s="318"/>
      <c r="L22" s="136"/>
    </row>
    <row r="23" spans="2:12" ht="15">
      <c r="B23" s="356"/>
      <c r="C23" s="391"/>
      <c r="D23" s="273"/>
      <c r="E23" s="142"/>
      <c r="F23" s="274"/>
      <c r="G23" s="142"/>
      <c r="H23" s="142"/>
      <c r="I23" s="136"/>
      <c r="J23" s="410"/>
      <c r="K23" s="318"/>
      <c r="L23" s="136"/>
    </row>
    <row r="24" spans="2:12" ht="15">
      <c r="B24" s="415" t="s">
        <v>548</v>
      </c>
      <c r="C24" s="385"/>
      <c r="D24" s="276"/>
      <c r="E24" s="132"/>
      <c r="F24" s="139"/>
      <c r="G24" s="132"/>
      <c r="H24" s="132"/>
      <c r="I24" s="141"/>
      <c r="J24" s="411"/>
      <c r="K24" s="318"/>
      <c r="L24" s="136"/>
    </row>
    <row r="25" spans="2:12" ht="15">
      <c r="B25" s="356" t="s">
        <v>65</v>
      </c>
      <c r="C25" s="391">
        <f>C22/2</f>
        <v>0.02419354838709678</v>
      </c>
      <c r="D25" s="273">
        <f>C25*D6</f>
        <v>0.3750000000000001</v>
      </c>
      <c r="E25" s="142">
        <v>3412</v>
      </c>
      <c r="F25" s="274">
        <f>D25*E25/1000</f>
        <v>1.2795000000000005</v>
      </c>
      <c r="G25" s="136">
        <f>C42*0.02</f>
        <v>9000000</v>
      </c>
      <c r="H25" s="142">
        <f>F25*G25</f>
        <v>11515500.000000006</v>
      </c>
      <c r="I25" s="136">
        <f>H25/E25*0.001</f>
        <v>3.3750000000000018</v>
      </c>
      <c r="J25" s="410">
        <f>+I25/(E36)*D17</f>
        <v>0.0049797285380353325</v>
      </c>
      <c r="K25" s="136"/>
      <c r="L25" s="136"/>
    </row>
    <row r="26" spans="2:12" ht="15">
      <c r="B26" s="370" t="s">
        <v>66</v>
      </c>
      <c r="C26" s="385">
        <f>C22/2</f>
        <v>0.02419354838709678</v>
      </c>
      <c r="D26" s="276">
        <f>C26*D7</f>
        <v>0.006532258064516131</v>
      </c>
      <c r="E26" s="132">
        <v>100000</v>
      </c>
      <c r="F26" s="139">
        <f>D26*E26/1000</f>
        <v>0.6532258064516131</v>
      </c>
      <c r="G26" s="132">
        <f>G25</f>
        <v>9000000</v>
      </c>
      <c r="H26" s="132">
        <f>F26*G26</f>
        <v>5879032.258064518</v>
      </c>
      <c r="I26" s="141">
        <f>H26/E26*1000</f>
        <v>58790.322580645174</v>
      </c>
      <c r="J26" s="411">
        <f>+I26/(E37)*D17</f>
        <v>0.001877341903097545</v>
      </c>
      <c r="K26" s="318"/>
      <c r="L26" s="136"/>
    </row>
    <row r="27" spans="2:12" ht="15">
      <c r="B27" s="387"/>
      <c r="C27" s="136"/>
      <c r="D27" s="142"/>
      <c r="E27" s="142"/>
      <c r="F27" s="274"/>
      <c r="G27" s="142"/>
      <c r="H27" s="275"/>
      <c r="I27" s="407" t="s">
        <v>585</v>
      </c>
      <c r="J27" s="412">
        <f>J21+J25</f>
        <v>0.009959457076070665</v>
      </c>
      <c r="K27" s="142"/>
      <c r="L27" s="142"/>
    </row>
    <row r="28" spans="2:12" ht="15">
      <c r="B28" s="387"/>
      <c r="C28" s="136"/>
      <c r="D28" s="142"/>
      <c r="E28" s="142"/>
      <c r="F28" s="274"/>
      <c r="G28" s="142"/>
      <c r="H28" s="275"/>
      <c r="I28" s="408" t="s">
        <v>586</v>
      </c>
      <c r="J28" s="413">
        <f>J22+J26</f>
        <v>0.00375468380619509</v>
      </c>
      <c r="K28" s="142"/>
      <c r="L28" s="142"/>
    </row>
    <row r="29" spans="2:12" ht="15">
      <c r="B29" s="387"/>
      <c r="C29" s="136"/>
      <c r="D29" s="142"/>
      <c r="E29" s="142"/>
      <c r="F29" s="274"/>
      <c r="G29" s="142"/>
      <c r="H29" s="393"/>
      <c r="I29" s="408" t="s">
        <v>589</v>
      </c>
      <c r="J29" s="413">
        <f>J27/2</f>
        <v>0.0049797285380353325</v>
      </c>
      <c r="K29" s="142"/>
      <c r="L29" s="142"/>
    </row>
    <row r="30" spans="2:12" ht="15.75" thickBot="1">
      <c r="B30" s="388"/>
      <c r="C30" s="389"/>
      <c r="D30" s="366"/>
      <c r="E30" s="366"/>
      <c r="F30" s="366"/>
      <c r="G30" s="366"/>
      <c r="H30" s="392"/>
      <c r="I30" s="394" t="s">
        <v>590</v>
      </c>
      <c r="J30" s="414">
        <f>J28/2</f>
        <v>0.001877341903097545</v>
      </c>
      <c r="K30" s="142"/>
      <c r="L30" s="136"/>
    </row>
    <row r="31" spans="8:12" ht="15">
      <c r="H31" s="386"/>
      <c r="L31" s="149"/>
    </row>
    <row r="32" spans="2:5" ht="15.75" thickBot="1">
      <c r="B32" s="131"/>
      <c r="D32" s="249"/>
      <c r="E32" s="147"/>
    </row>
    <row r="33" spans="2:12" ht="15">
      <c r="B33" s="372" t="s">
        <v>587</v>
      </c>
      <c r="C33" s="352"/>
      <c r="D33" s="352"/>
      <c r="E33" s="373"/>
      <c r="F33" s="352"/>
      <c r="G33" s="352"/>
      <c r="H33" s="352"/>
      <c r="I33" s="398" t="s">
        <v>272</v>
      </c>
      <c r="J33" s="397"/>
      <c r="K33" s="352"/>
      <c r="L33" s="353"/>
    </row>
    <row r="34" spans="2:12" ht="15">
      <c r="B34" s="361"/>
      <c r="C34" s="374"/>
      <c r="D34" s="142"/>
      <c r="E34" s="142"/>
      <c r="F34" s="142"/>
      <c r="G34" s="142" t="s">
        <v>274</v>
      </c>
      <c r="H34" s="142"/>
      <c r="I34" s="399" t="s">
        <v>273</v>
      </c>
      <c r="J34" s="395"/>
      <c r="K34" s="396">
        <v>900</v>
      </c>
      <c r="L34" s="355"/>
    </row>
    <row r="35" spans="2:12" ht="15">
      <c r="B35" s="354" t="s">
        <v>276</v>
      </c>
      <c r="C35" s="132" t="s">
        <v>64</v>
      </c>
      <c r="D35" s="133" t="s">
        <v>277</v>
      </c>
      <c r="E35" s="133" t="s">
        <v>40</v>
      </c>
      <c r="F35" s="132" t="s">
        <v>278</v>
      </c>
      <c r="G35" s="132" t="s">
        <v>279</v>
      </c>
      <c r="H35" s="142"/>
      <c r="I35" s="399" t="s">
        <v>275</v>
      </c>
      <c r="J35" s="395"/>
      <c r="K35" s="396">
        <f>K34/2000*1000</f>
        <v>450</v>
      </c>
      <c r="L35" s="355"/>
    </row>
    <row r="36" spans="2:12" ht="15">
      <c r="B36" s="356" t="s">
        <v>281</v>
      </c>
      <c r="C36" s="142">
        <f>'[2]Boston-in-NSTAR'!L11/1000000</f>
        <v>1246.359067</v>
      </c>
      <c r="D36" s="142">
        <f>E36-C36</f>
        <v>5531.11881</v>
      </c>
      <c r="E36" s="142">
        <f>'[2]Boston-in-NSTAR'!L15/1000000</f>
        <v>6777.477877</v>
      </c>
      <c r="F36" s="142">
        <f>K$35</f>
        <v>450</v>
      </c>
      <c r="G36" s="142">
        <f>E36*F36</f>
        <v>3049865.04465</v>
      </c>
      <c r="H36" s="142"/>
      <c r="I36" s="361" t="s">
        <v>280</v>
      </c>
      <c r="J36" s="142"/>
      <c r="K36" s="136"/>
      <c r="L36" s="355"/>
    </row>
    <row r="37" spans="2:12" ht="15.75" thickBot="1">
      <c r="B37" s="356" t="s">
        <v>282</v>
      </c>
      <c r="C37" s="142">
        <f>'[2]data-GHG'!G7</f>
        <v>76518407</v>
      </c>
      <c r="D37" s="142">
        <f>'[2]data-GHG'!G14</f>
        <v>236638842</v>
      </c>
      <c r="E37" s="142">
        <f>C37+D37</f>
        <v>313157249</v>
      </c>
      <c r="F37" s="375">
        <f>K$37</f>
        <v>0.006178220733517619</v>
      </c>
      <c r="G37" s="142">
        <f>E37*F37</f>
        <v>1934754.6086231396</v>
      </c>
      <c r="H37" s="142"/>
      <c r="I37" s="400"/>
      <c r="J37" s="366"/>
      <c r="K37" s="401">
        <v>0.006178220733517619</v>
      </c>
      <c r="L37" s="377"/>
    </row>
    <row r="38" spans="2:12" ht="15">
      <c r="B38" s="356"/>
      <c r="C38" s="142"/>
      <c r="D38" s="375" t="s">
        <v>283</v>
      </c>
      <c r="E38" s="142"/>
      <c r="F38" s="142"/>
      <c r="G38" s="142"/>
      <c r="H38" s="142"/>
      <c r="I38" s="142"/>
      <c r="J38" s="142"/>
      <c r="K38" s="142"/>
      <c r="L38" s="355"/>
    </row>
    <row r="39" spans="2:12" ht="15">
      <c r="B39" s="356"/>
      <c r="C39" s="376">
        <f>SUM(C36:C37)</f>
        <v>76519653.359067</v>
      </c>
      <c r="D39" s="136">
        <f>SUM(D36:D37)</f>
        <v>236644373.11881</v>
      </c>
      <c r="E39" s="136">
        <f>SUM(E36:E37)</f>
        <v>313164026.477877</v>
      </c>
      <c r="F39" s="142"/>
      <c r="G39" s="142"/>
      <c r="H39" s="142"/>
      <c r="I39" s="142"/>
      <c r="J39" s="142"/>
      <c r="K39" s="142"/>
      <c r="L39" s="355"/>
    </row>
    <row r="40" spans="2:12" ht="15">
      <c r="B40" s="356"/>
      <c r="C40" s="364">
        <f>C39/E39</f>
        <v>0.24434368857648023</v>
      </c>
      <c r="D40" s="364">
        <f>D39/E39</f>
        <v>0.7556563114235196</v>
      </c>
      <c r="E40" s="136"/>
      <c r="F40" s="142"/>
      <c r="G40" s="142"/>
      <c r="H40" s="142"/>
      <c r="I40" s="142"/>
      <c r="J40" s="142"/>
      <c r="K40" s="142"/>
      <c r="L40" s="355"/>
    </row>
    <row r="41" spans="2:12" ht="15">
      <c r="B41" s="390" t="s">
        <v>588</v>
      </c>
      <c r="C41" s="142"/>
      <c r="D41" s="142"/>
      <c r="E41" s="142"/>
      <c r="F41" s="142"/>
      <c r="G41" s="142"/>
      <c r="H41" s="142"/>
      <c r="I41" s="142"/>
      <c r="J41" s="142"/>
      <c r="K41" s="142"/>
      <c r="L41" s="355"/>
    </row>
    <row r="42" spans="2:12" ht="15.75" thickBot="1">
      <c r="B42" s="381" t="s">
        <v>546</v>
      </c>
      <c r="C42" s="366">
        <v>450000000</v>
      </c>
      <c r="D42" s="366"/>
      <c r="E42" s="366"/>
      <c r="F42" s="366"/>
      <c r="G42" s="366"/>
      <c r="H42" s="366"/>
      <c r="I42" s="366"/>
      <c r="J42" s="366"/>
      <c r="K42" s="366"/>
      <c r="L42" s="377"/>
    </row>
    <row r="44" spans="2:10" s="249" customFormat="1" ht="15">
      <c r="B44" s="134"/>
      <c r="E44" s="147"/>
      <c r="I44" s="137"/>
      <c r="J44" s="137"/>
    </row>
    <row r="45" spans="2:6" s="249" customFormat="1" ht="15">
      <c r="B45" s="351" t="s">
        <v>214</v>
      </c>
      <c r="D45" s="138"/>
      <c r="E45" s="138"/>
      <c r="F45" s="250"/>
    </row>
    <row r="46" spans="2:6" s="249" customFormat="1" ht="15">
      <c r="B46" s="143" t="s">
        <v>581</v>
      </c>
      <c r="D46" s="138"/>
      <c r="E46" s="138"/>
      <c r="F46" s="250"/>
    </row>
    <row r="47" spans="2:6" s="249" customFormat="1" ht="15">
      <c r="B47" s="143" t="s">
        <v>575</v>
      </c>
      <c r="E47" s="147"/>
      <c r="F47" s="251"/>
    </row>
    <row r="48" spans="2:5" s="249" customFormat="1" ht="15">
      <c r="B48" s="143" t="s">
        <v>576</v>
      </c>
      <c r="D48" s="144"/>
      <c r="E48" s="144"/>
    </row>
    <row r="49" spans="2:5" s="249" customFormat="1" ht="15">
      <c r="B49" s="143" t="s">
        <v>584</v>
      </c>
      <c r="D49" s="144"/>
      <c r="E49" s="145"/>
    </row>
    <row r="50" spans="2:7" s="249" customFormat="1" ht="15">
      <c r="B50" s="134"/>
      <c r="D50" s="144"/>
      <c r="E50" s="145"/>
      <c r="F50" s="146"/>
      <c r="G50" s="146"/>
    </row>
    <row r="51" spans="2:5" s="249" customFormat="1" ht="15">
      <c r="B51" s="134"/>
      <c r="D51" s="144"/>
      <c r="E51" s="145"/>
    </row>
    <row r="52" s="249" customFormat="1" ht="15"/>
    <row r="53" s="249" customFormat="1" ht="15"/>
    <row r="54" s="249" customFormat="1" ht="15"/>
    <row r="55" s="249" customFormat="1" ht="15"/>
    <row r="56" s="249" customFormat="1" ht="15"/>
    <row r="57" s="249" customFormat="1" ht="15"/>
    <row r="58" s="249" customFormat="1" ht="15"/>
    <row r="59" s="249" customFormat="1" ht="15"/>
    <row r="60" s="249" customFormat="1" ht="15"/>
    <row r="61" spans="2:7" s="249" customFormat="1" ht="15">
      <c r="B61" s="134"/>
      <c r="D61" s="138"/>
      <c r="E61" s="138"/>
      <c r="F61" s="253"/>
      <c r="G61" s="140"/>
    </row>
    <row r="62" spans="2:8" s="249" customFormat="1" ht="15">
      <c r="B62" s="134"/>
      <c r="D62" s="136"/>
      <c r="E62" s="136"/>
      <c r="F62" s="136"/>
      <c r="G62" s="318"/>
      <c r="H62" s="136"/>
    </row>
    <row r="63" spans="2:10" s="249" customFormat="1" ht="15">
      <c r="B63" s="254"/>
      <c r="D63" s="402"/>
      <c r="E63" s="136"/>
      <c r="F63" s="136"/>
      <c r="G63" s="403"/>
      <c r="H63" s="136"/>
      <c r="I63" s="136"/>
      <c r="J63" s="136"/>
    </row>
    <row r="64" spans="4:8" s="249" customFormat="1" ht="15">
      <c r="D64" s="404"/>
      <c r="E64" s="405"/>
      <c r="F64" s="406"/>
      <c r="G64" s="406"/>
      <c r="H64" s="136"/>
    </row>
    <row r="65" spans="2:8" s="249" customFormat="1" ht="15">
      <c r="B65" s="143"/>
      <c r="D65" s="136"/>
      <c r="E65" s="136"/>
      <c r="F65" s="136"/>
      <c r="G65" s="136"/>
      <c r="H65" s="136"/>
    </row>
    <row r="66" s="249" customFormat="1" ht="15">
      <c r="B66" s="143"/>
    </row>
    <row r="67" s="249" customFormat="1" ht="15">
      <c r="B67" s="134"/>
    </row>
    <row r="68" s="249" customFormat="1" ht="15">
      <c r="B68" s="134"/>
    </row>
    <row r="69" s="249" customFormat="1" ht="15">
      <c r="B69" s="143"/>
    </row>
    <row r="70" s="249" customFormat="1" ht="15">
      <c r="B70" s="134"/>
    </row>
    <row r="71" spans="2:8" s="249" customFormat="1" ht="15">
      <c r="B71" s="134"/>
      <c r="H71" s="255"/>
    </row>
    <row r="72" spans="2:10" s="249" customFormat="1" ht="15">
      <c r="B72" s="143"/>
      <c r="I72" s="146"/>
      <c r="J72" s="146"/>
    </row>
    <row r="73" spans="2:7" s="249" customFormat="1" ht="15">
      <c r="B73" s="143"/>
      <c r="D73" s="138"/>
      <c r="E73" s="138"/>
      <c r="G73" s="144"/>
    </row>
    <row r="74" spans="2:6" s="249" customFormat="1" ht="15">
      <c r="B74" s="143"/>
      <c r="D74" s="144"/>
      <c r="E74" s="144"/>
      <c r="F74" s="248"/>
    </row>
    <row r="75" spans="2:7" s="249" customFormat="1" ht="15">
      <c r="B75" s="143"/>
      <c r="F75" s="248"/>
      <c r="G75" s="138"/>
    </row>
    <row r="76" spans="2:7" s="249" customFormat="1" ht="15">
      <c r="B76" s="143"/>
      <c r="D76" s="144"/>
      <c r="E76" s="144"/>
      <c r="G76" s="144"/>
    </row>
    <row r="77" spans="2:7" s="249" customFormat="1" ht="15">
      <c r="B77" s="143"/>
      <c r="D77" s="144"/>
      <c r="E77" s="144"/>
      <c r="G77" s="144"/>
    </row>
    <row r="78" spans="2:7" s="249" customFormat="1" ht="15">
      <c r="B78" s="134"/>
      <c r="D78" s="144"/>
      <c r="E78" s="144"/>
      <c r="G78" s="144"/>
    </row>
    <row r="79" spans="2:7" s="249" customFormat="1" ht="15">
      <c r="B79" s="134"/>
      <c r="D79" s="144"/>
      <c r="E79" s="144"/>
      <c r="G79" s="144"/>
    </row>
    <row r="80" spans="2:8" s="249" customFormat="1" ht="15">
      <c r="B80" s="143"/>
      <c r="D80" s="144"/>
      <c r="E80" s="145"/>
      <c r="G80" s="144"/>
      <c r="H80" s="144"/>
    </row>
    <row r="81" s="249" customFormat="1" ht="15">
      <c r="B81" s="134"/>
    </row>
    <row r="82" spans="2:10" s="249" customFormat="1" ht="15">
      <c r="B82" s="134"/>
      <c r="H82" s="138"/>
      <c r="I82" s="146"/>
      <c r="J82" s="146"/>
    </row>
    <row r="83" spans="2:8" s="249" customFormat="1" ht="15">
      <c r="B83" s="143"/>
      <c r="E83" s="147"/>
      <c r="H83" s="144"/>
    </row>
    <row r="84" spans="2:8" s="249" customFormat="1" ht="15">
      <c r="B84" s="143"/>
      <c r="E84" s="147"/>
      <c r="H84" s="144"/>
    </row>
    <row r="85" spans="2:8" s="249" customFormat="1" ht="15">
      <c r="B85" s="143"/>
      <c r="D85" s="144"/>
      <c r="E85" s="144"/>
      <c r="H85" s="144"/>
    </row>
    <row r="86" spans="2:10" s="249" customFormat="1" ht="15">
      <c r="B86" s="134"/>
      <c r="D86" s="252"/>
      <c r="E86" s="252"/>
      <c r="G86" s="252"/>
      <c r="H86" s="144"/>
      <c r="I86" s="146"/>
      <c r="J86" s="146"/>
    </row>
    <row r="87" spans="2:8" s="249" customFormat="1" ht="15">
      <c r="B87" s="134"/>
      <c r="D87" s="252"/>
      <c r="E87" s="252"/>
      <c r="G87" s="252"/>
      <c r="H87" s="144"/>
    </row>
    <row r="88" spans="2:5" s="249" customFormat="1" ht="15">
      <c r="B88" s="143"/>
      <c r="E88" s="147"/>
    </row>
    <row r="89" spans="2:10" s="249" customFormat="1" ht="15">
      <c r="B89" s="134"/>
      <c r="D89" s="137"/>
      <c r="E89" s="147"/>
      <c r="I89" s="146"/>
      <c r="J89" s="146"/>
    </row>
    <row r="90" spans="2:10" s="249" customFormat="1" ht="15">
      <c r="B90" s="134"/>
      <c r="D90" s="137"/>
      <c r="E90" s="147"/>
      <c r="H90" s="147"/>
      <c r="I90" s="146"/>
      <c r="J90" s="146"/>
    </row>
    <row r="91" spans="2:7" s="249" customFormat="1" ht="15">
      <c r="B91" s="256"/>
      <c r="D91" s="257"/>
      <c r="E91" s="258"/>
      <c r="F91" s="257"/>
      <c r="G91" s="257"/>
    </row>
    <row r="92" spans="2:12" s="249" customFormat="1" ht="15">
      <c r="B92" s="254"/>
      <c r="C92" s="254"/>
      <c r="L92" s="141"/>
    </row>
    <row r="93" spans="3:8" s="249" customFormat="1" ht="15">
      <c r="C93" s="135"/>
      <c r="D93" s="135"/>
      <c r="E93" s="135"/>
      <c r="F93" s="135"/>
      <c r="G93" s="135"/>
      <c r="H93" s="252"/>
    </row>
    <row r="94" spans="2:11" s="249" customFormat="1" ht="15">
      <c r="B94" s="259"/>
      <c r="H94" s="252"/>
      <c r="K94" s="140"/>
    </row>
    <row r="95" spans="2:10" s="249" customFormat="1" ht="15">
      <c r="B95" s="259"/>
      <c r="H95" s="147"/>
      <c r="I95" s="146"/>
      <c r="J95" s="146"/>
    </row>
    <row r="96" spans="2:10" s="249" customFormat="1" ht="15">
      <c r="B96" s="259"/>
      <c r="H96" s="137"/>
      <c r="I96" s="253"/>
      <c r="J96" s="253"/>
    </row>
    <row r="97" spans="2:10" s="249" customFormat="1" ht="15">
      <c r="B97" s="259"/>
      <c r="H97" s="137"/>
      <c r="I97" s="253"/>
      <c r="J97" s="253"/>
    </row>
    <row r="98" spans="2:8" s="249" customFormat="1" ht="15">
      <c r="B98" s="259"/>
      <c r="H98" s="257"/>
    </row>
    <row r="99" spans="2:11" s="249" customFormat="1" ht="15">
      <c r="B99" s="259"/>
      <c r="I99" s="138"/>
      <c r="J99" s="138"/>
      <c r="K99" s="137"/>
    </row>
    <row r="100" spans="2:11" s="249" customFormat="1" ht="15">
      <c r="B100" s="259"/>
      <c r="K100" s="137"/>
    </row>
    <row r="101" spans="2:11" s="249" customFormat="1" ht="15">
      <c r="B101" s="259"/>
      <c r="K101" s="137"/>
    </row>
    <row r="102" spans="2:11" s="249" customFormat="1" ht="15">
      <c r="B102" s="259"/>
      <c r="K102" s="260"/>
    </row>
    <row r="103" s="249" customFormat="1" ht="15">
      <c r="B103" s="259"/>
    </row>
    <row r="104" spans="2:7" s="249" customFormat="1" ht="15">
      <c r="B104" s="259"/>
      <c r="C104" s="141"/>
      <c r="D104" s="141"/>
      <c r="E104" s="141"/>
      <c r="F104" s="141"/>
      <c r="G104" s="141"/>
    </row>
    <row r="105" s="249" customFormat="1" ht="15">
      <c r="B105" s="134"/>
    </row>
    <row r="106" s="249" customFormat="1" ht="15">
      <c r="B106" s="261"/>
    </row>
    <row r="107" spans="2:4" s="249" customFormat="1" ht="15">
      <c r="B107" s="262"/>
      <c r="C107" s="263"/>
      <c r="D107" s="263"/>
    </row>
    <row r="108" spans="2:4" s="249" customFormat="1" ht="15">
      <c r="B108" s="264"/>
      <c r="C108" s="144"/>
      <c r="D108" s="144"/>
    </row>
    <row r="109" spans="2:10" s="249" customFormat="1" ht="15">
      <c r="B109" s="262"/>
      <c r="C109" s="263"/>
      <c r="D109" s="263"/>
      <c r="E109" s="265"/>
      <c r="F109" s="265"/>
      <c r="G109" s="263"/>
      <c r="I109" s="148"/>
      <c r="J109" s="148"/>
    </row>
    <row r="110" spans="2:7" s="249" customFormat="1" ht="15">
      <c r="B110" s="266"/>
      <c r="C110" s="267"/>
      <c r="D110" s="267"/>
      <c r="G110" s="267"/>
    </row>
    <row r="111" s="249" customFormat="1" ht="15"/>
    <row r="112" spans="3:4" s="249" customFormat="1" ht="15">
      <c r="C112" s="135"/>
      <c r="D112" s="135"/>
    </row>
    <row r="113" spans="2:4" s="249" customFormat="1" ht="15">
      <c r="B113" s="259"/>
      <c r="C113" s="138"/>
      <c r="D113" s="138"/>
    </row>
    <row r="114" spans="2:4" s="249" customFormat="1" ht="15">
      <c r="B114" s="259"/>
      <c r="C114" s="138"/>
      <c r="D114" s="138"/>
    </row>
    <row r="115" spans="2:4" s="249" customFormat="1" ht="15">
      <c r="B115" s="259"/>
      <c r="C115" s="138"/>
      <c r="D115" s="138"/>
    </row>
    <row r="116" spans="2:4" s="249" customFormat="1" ht="15">
      <c r="B116" s="259"/>
      <c r="C116" s="138"/>
      <c r="D116" s="138"/>
    </row>
    <row r="117" spans="2:4" s="249" customFormat="1" ht="15">
      <c r="B117" s="259"/>
      <c r="C117" s="138"/>
      <c r="D117" s="138"/>
    </row>
    <row r="118" spans="2:4" s="249" customFormat="1" ht="15">
      <c r="B118" s="259"/>
      <c r="C118" s="138"/>
      <c r="D118" s="138"/>
    </row>
    <row r="119" spans="2:4" s="249" customFormat="1" ht="15">
      <c r="B119" s="259"/>
      <c r="C119" s="268"/>
      <c r="D119" s="268"/>
    </row>
    <row r="120" spans="2:4" s="249" customFormat="1" ht="15">
      <c r="B120" s="259"/>
      <c r="C120" s="268"/>
      <c r="D120" s="268"/>
    </row>
    <row r="121" spans="2:4" s="249" customFormat="1" ht="15">
      <c r="B121" s="259"/>
      <c r="C121" s="268"/>
      <c r="D121" s="268"/>
    </row>
    <row r="122" spans="2:4" s="249" customFormat="1" ht="15">
      <c r="B122" s="259"/>
      <c r="C122" s="268"/>
      <c r="D122" s="268"/>
    </row>
    <row r="123" spans="2:4" s="249" customFormat="1" ht="15">
      <c r="B123" s="259"/>
      <c r="C123" s="269"/>
      <c r="D123" s="269"/>
    </row>
    <row r="124" spans="2:4" s="249" customFormat="1" ht="15">
      <c r="B124" s="134"/>
      <c r="C124" s="138"/>
      <c r="D124" s="138"/>
    </row>
    <row r="125" s="249" customFormat="1" ht="15"/>
    <row r="126" s="249" customFormat="1" ht="15"/>
    <row r="127" s="249" customFormat="1" ht="15"/>
    <row r="128" s="249" customFormat="1" ht="15"/>
    <row r="129" s="249" customFormat="1" ht="15"/>
    <row r="130" s="249" customFormat="1" ht="15"/>
    <row r="131" s="249" customFormat="1" ht="15"/>
    <row r="132" s="249" customFormat="1" ht="15"/>
    <row r="133" s="249" customFormat="1" ht="15"/>
    <row r="134" s="249" customFormat="1" ht="15"/>
    <row r="135" s="249" customFormat="1" ht="15"/>
    <row r="136" s="249" customFormat="1" ht="15"/>
    <row r="137" s="249" customFormat="1" ht="15"/>
    <row r="138" s="249" customFormat="1" ht="15"/>
    <row r="139" s="249" customFormat="1" ht="15"/>
    <row r="140" s="249" customFormat="1" ht="15"/>
    <row r="141" s="249" customFormat="1" ht="15"/>
    <row r="142" s="249" customFormat="1" ht="15"/>
    <row r="143" s="249" customFormat="1" ht="15"/>
    <row r="144" s="249" customFormat="1" ht="15"/>
    <row r="145" s="249" customFormat="1" ht="15"/>
    <row r="146" s="249" customFormat="1" ht="15"/>
    <row r="147" s="249" customFormat="1" ht="15"/>
    <row r="148" s="249" customFormat="1" ht="15"/>
    <row r="149" s="249" customFormat="1" ht="15"/>
    <row r="150" s="249" customFormat="1" ht="15"/>
    <row r="151" s="249" customFormat="1" ht="15"/>
    <row r="152" s="249" customFormat="1" ht="15"/>
    <row r="153" s="249" customFormat="1" ht="15"/>
    <row r="154" s="249" customFormat="1" ht="15"/>
    <row r="155" s="249" customFormat="1" ht="15"/>
    <row r="156" s="249" customFormat="1" ht="15"/>
    <row r="157" s="249" customFormat="1" ht="15"/>
    <row r="158" s="249" customFormat="1" ht="15"/>
    <row r="159" s="249" customFormat="1" ht="15"/>
    <row r="160" s="249" customFormat="1" ht="15"/>
    <row r="161" s="249" customFormat="1" ht="15"/>
    <row r="162" s="249" customFormat="1" ht="15"/>
    <row r="163" s="249" customFormat="1" ht="15"/>
    <row r="164" s="249" customFormat="1" ht="15"/>
    <row r="165" s="249" customFormat="1" ht="15"/>
    <row r="166" s="249" customFormat="1" ht="15"/>
    <row r="167" s="249" customFormat="1" ht="15"/>
    <row r="168" s="249" customFormat="1" ht="15"/>
    <row r="169" s="249" customFormat="1" ht="15"/>
    <row r="170" s="249" customFormat="1" ht="15"/>
    <row r="171" s="249" customFormat="1" ht="15"/>
    <row r="172" s="249" customFormat="1" ht="15"/>
    <row r="173" s="249" customFormat="1" ht="15"/>
    <row r="174" s="249" customFormat="1" ht="15"/>
    <row r="175" s="249" customFormat="1" ht="15"/>
    <row r="176" s="249" customFormat="1" ht="15"/>
    <row r="177" s="249" customFormat="1" ht="15"/>
    <row r="178" s="249" customFormat="1" ht="15"/>
    <row r="179" s="249" customFormat="1" ht="15"/>
    <row r="180" s="249" customFormat="1" ht="15"/>
    <row r="181" s="249" customFormat="1" ht="15"/>
    <row r="182" s="249" customFormat="1" ht="15"/>
    <row r="183" s="249" customFormat="1" ht="15"/>
    <row r="184" s="249" customFormat="1" ht="15"/>
    <row r="185" s="249" customFormat="1" ht="15"/>
    <row r="186" s="249" customFormat="1" ht="15"/>
    <row r="187" s="249" customFormat="1" ht="15"/>
    <row r="188" s="249" customFormat="1" ht="15"/>
    <row r="189" s="249" customFormat="1" ht="15"/>
    <row r="190" s="249" customFormat="1" ht="15"/>
    <row r="191" s="249" customFormat="1" ht="15"/>
    <row r="192" s="249" customFormat="1" ht="15"/>
    <row r="193" s="249" customFormat="1" ht="15"/>
    <row r="194" s="249" customFormat="1" ht="15"/>
    <row r="195" s="249" customFormat="1" ht="15"/>
    <row r="196" s="249" customFormat="1" ht="15"/>
    <row r="197" s="249" customFormat="1" ht="15"/>
    <row r="198" s="249" customFormat="1" ht="15"/>
    <row r="199" s="249" customFormat="1" ht="15"/>
    <row r="200" s="249" customFormat="1" ht="15"/>
    <row r="201" s="249" customFormat="1" ht="15"/>
    <row r="202" s="249" customFormat="1" ht="15"/>
    <row r="203" s="249" customFormat="1" ht="15"/>
    <row r="204" s="249" customFormat="1" ht="15"/>
    <row r="205" s="249" customFormat="1" ht="15"/>
    <row r="206" s="249" customFormat="1" ht="15"/>
    <row r="207" s="249" customFormat="1" ht="15"/>
    <row r="208" s="249" customFormat="1" ht="15"/>
    <row r="209" s="249" customFormat="1" ht="15"/>
    <row r="210" spans="2:7" s="249" customFormat="1" ht="15">
      <c r="B210" s="129"/>
      <c r="C210" s="129"/>
      <c r="D210" s="129"/>
      <c r="E210" s="129"/>
      <c r="F210" s="129"/>
      <c r="G210" s="129"/>
    </row>
    <row r="211" spans="2:7" s="249" customFormat="1" ht="15">
      <c r="B211" s="129"/>
      <c r="C211" s="129"/>
      <c r="D211" s="129"/>
      <c r="E211" s="129"/>
      <c r="F211" s="129"/>
      <c r="G211" s="129"/>
    </row>
    <row r="212" spans="2:7" s="249" customFormat="1" ht="15">
      <c r="B212" s="129"/>
      <c r="C212" s="129"/>
      <c r="D212" s="129"/>
      <c r="E212" s="129"/>
      <c r="F212" s="129"/>
      <c r="G212" s="129"/>
    </row>
    <row r="213" spans="2:7" s="249" customFormat="1" ht="15">
      <c r="B213" s="129"/>
      <c r="C213" s="129"/>
      <c r="D213" s="129"/>
      <c r="E213" s="129"/>
      <c r="F213" s="129"/>
      <c r="G213" s="129"/>
    </row>
    <row r="214" spans="2:7" s="249" customFormat="1" ht="15">
      <c r="B214" s="129"/>
      <c r="C214" s="129"/>
      <c r="D214" s="129"/>
      <c r="E214" s="129"/>
      <c r="F214" s="129"/>
      <c r="G214" s="129"/>
    </row>
    <row r="215" spans="2:7" s="249" customFormat="1" ht="15">
      <c r="B215" s="129"/>
      <c r="C215" s="129"/>
      <c r="D215" s="129"/>
      <c r="E215" s="129"/>
      <c r="F215" s="129"/>
      <c r="G215" s="129"/>
    </row>
    <row r="216" spans="2:7" s="249" customFormat="1" ht="15">
      <c r="B216" s="129"/>
      <c r="C216" s="129"/>
      <c r="D216" s="129"/>
      <c r="E216" s="129"/>
      <c r="F216" s="129"/>
      <c r="G216" s="129"/>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I89"/>
  <sheetViews>
    <sheetView zoomScalePageLayoutView="0" workbookViewId="0" topLeftCell="A1">
      <selection activeCell="B7" sqref="B7"/>
    </sheetView>
  </sheetViews>
  <sheetFormatPr defaultColWidth="9.140625" defaultRowHeight="12.75"/>
  <cols>
    <col min="1" max="1" width="46.7109375" style="0" customWidth="1"/>
    <col min="2" max="2" width="20.28125" style="0" customWidth="1"/>
    <col min="3" max="3" width="14.00390625" style="0" customWidth="1"/>
    <col min="4" max="4" width="20.421875" style="0" customWidth="1"/>
    <col min="5" max="5" width="26.140625" style="0" customWidth="1"/>
    <col min="6" max="6" width="10.421875" style="82" customWidth="1"/>
    <col min="7" max="7" width="17.421875" style="0" customWidth="1"/>
    <col min="8" max="8" width="8.8515625" style="0" customWidth="1"/>
    <col min="9" max="9" width="9.7109375" style="0" bestFit="1" customWidth="1"/>
  </cols>
  <sheetData>
    <row r="1" spans="1:6" ht="18">
      <c r="A1" s="506" t="s">
        <v>58</v>
      </c>
      <c r="B1" s="156"/>
      <c r="C1" s="156"/>
      <c r="D1" s="156"/>
      <c r="E1" s="156"/>
      <c r="F1" s="156"/>
    </row>
    <row r="2" spans="1:6" ht="15.75" thickBot="1">
      <c r="A2" s="505"/>
      <c r="B2" s="156"/>
      <c r="C2" s="156"/>
      <c r="D2" s="156"/>
      <c r="E2" s="156"/>
      <c r="F2" s="156"/>
    </row>
    <row r="3" spans="1:6" ht="18.75" customHeight="1">
      <c r="A3" s="471" t="s">
        <v>577</v>
      </c>
      <c r="B3" s="466"/>
      <c r="C3" s="156"/>
      <c r="D3" s="156"/>
      <c r="E3" s="156"/>
      <c r="F3" s="156"/>
    </row>
    <row r="4" spans="1:6" ht="12.75">
      <c r="A4" s="467" t="s">
        <v>453</v>
      </c>
      <c r="B4" s="468">
        <f>F59</f>
        <v>0.0008609086581814756</v>
      </c>
      <c r="C4" s="156"/>
      <c r="D4" s="156"/>
      <c r="E4" s="156"/>
      <c r="F4" s="156"/>
    </row>
    <row r="5" spans="1:6" ht="12.75">
      <c r="A5" s="467" t="s">
        <v>454</v>
      </c>
      <c r="B5" s="468">
        <f>'Green Roofs'!D10</f>
        <v>8.754642034925251E-05</v>
      </c>
      <c r="C5" s="156"/>
      <c r="D5" s="156"/>
      <c r="E5" s="156"/>
      <c r="F5" s="156"/>
    </row>
    <row r="6" spans="1:6" ht="13.5" thickBot="1">
      <c r="A6" s="469" t="s">
        <v>40</v>
      </c>
      <c r="B6" s="470">
        <f>SUM(B4:B5)</f>
        <v>0.0009484550785307281</v>
      </c>
      <c r="C6" s="30" t="s">
        <v>456</v>
      </c>
      <c r="D6" s="156"/>
      <c r="E6" s="156"/>
      <c r="F6" s="156"/>
    </row>
    <row r="7" spans="1:6" ht="12.75">
      <c r="A7" s="30"/>
      <c r="B7" s="30"/>
      <c r="C7" s="156"/>
      <c r="D7" s="156"/>
      <c r="E7" s="156"/>
      <c r="F7" s="156"/>
    </row>
    <row r="8" spans="1:6" ht="12.75">
      <c r="A8" s="30"/>
      <c r="B8" s="30"/>
      <c r="C8" s="156"/>
      <c r="D8" s="156"/>
      <c r="E8" s="156"/>
      <c r="F8" s="156"/>
    </row>
    <row r="9" spans="1:7" ht="15.75" thickBot="1">
      <c r="A9" s="481" t="s">
        <v>64</v>
      </c>
      <c r="B9" s="495" t="s">
        <v>578</v>
      </c>
      <c r="C9" s="158"/>
      <c r="D9" s="158"/>
      <c r="E9" s="158"/>
      <c r="F9" s="162"/>
      <c r="G9" s="82"/>
    </row>
    <row r="10" spans="1:6" ht="12.75">
      <c r="A10" s="482" t="s">
        <v>301</v>
      </c>
      <c r="B10" s="483" t="s">
        <v>302</v>
      </c>
      <c r="C10" s="158"/>
      <c r="D10" s="158"/>
      <c r="E10" s="158"/>
      <c r="F10" s="162"/>
    </row>
    <row r="11" spans="1:6" ht="12.75">
      <c r="A11" s="159" t="s">
        <v>303</v>
      </c>
      <c r="B11" s="160">
        <f>(B16*B31)</f>
        <v>7382.044489675608</v>
      </c>
      <c r="C11" s="162"/>
      <c r="D11" s="162"/>
      <c r="E11" s="162"/>
      <c r="F11" s="162"/>
    </row>
    <row r="12" spans="1:6" ht="12.75">
      <c r="A12" s="159" t="s">
        <v>304</v>
      </c>
      <c r="B12" s="160">
        <f>(B17*B31)</f>
        <v>1107.3066734513413</v>
      </c>
      <c r="C12" s="162"/>
      <c r="D12" s="162"/>
      <c r="E12" s="162"/>
      <c r="F12" s="162"/>
    </row>
    <row r="13" spans="1:6" ht="13.5" thickBot="1">
      <c r="A13" s="161" t="s">
        <v>40</v>
      </c>
      <c r="B13" s="163">
        <f>SUM(B11:B12)</f>
        <v>8489.35116312695</v>
      </c>
      <c r="C13" s="158"/>
      <c r="D13" s="158"/>
      <c r="E13" s="158"/>
      <c r="F13" s="162"/>
    </row>
    <row r="14" spans="1:6" ht="13.5" thickBot="1">
      <c r="A14" s="164"/>
      <c r="B14" s="164"/>
      <c r="C14" s="165"/>
      <c r="D14" s="165"/>
      <c r="E14" s="165"/>
      <c r="F14" s="168"/>
    </row>
    <row r="15" spans="1:5" ht="12.75">
      <c r="A15" s="482" t="s">
        <v>305</v>
      </c>
      <c r="B15" s="483" t="s">
        <v>306</v>
      </c>
      <c r="C15" s="484" t="s">
        <v>430</v>
      </c>
      <c r="D15" s="484" t="s">
        <v>431</v>
      </c>
      <c r="E15" s="484"/>
    </row>
    <row r="16" spans="1:7" ht="12.75">
      <c r="A16" s="159" t="s">
        <v>307</v>
      </c>
      <c r="B16" s="166">
        <f>B34*(1/B35)*B28</f>
        <v>38771242.067623995</v>
      </c>
      <c r="C16" s="162">
        <f>C34*0.33/10</f>
        <v>356594.65901315736</v>
      </c>
      <c r="D16" s="162">
        <f>C18*C31</f>
        <v>763760.9242136353</v>
      </c>
      <c r="E16" s="162" t="s">
        <v>432</v>
      </c>
      <c r="F16" s="219">
        <f>D17</f>
        <v>841.902304896743</v>
      </c>
      <c r="G16" t="s">
        <v>438</v>
      </c>
    </row>
    <row r="17" spans="1:7" ht="12.75">
      <c r="A17" s="159" t="s">
        <v>308</v>
      </c>
      <c r="B17" s="216">
        <f>B34*B36*B28</f>
        <v>5815686.3101436</v>
      </c>
      <c r="C17" s="220">
        <f>C35</f>
        <v>54029.49378987233</v>
      </c>
      <c r="D17" s="162">
        <f>D16*0.00110231131</f>
        <v>841.902304896743</v>
      </c>
      <c r="E17" s="221" t="s">
        <v>433</v>
      </c>
      <c r="F17" s="82">
        <v>8500000</v>
      </c>
      <c r="G17" t="s">
        <v>439</v>
      </c>
    </row>
    <row r="18" spans="1:7" ht="13.5" thickBot="1">
      <c r="A18" s="161" t="s">
        <v>40</v>
      </c>
      <c r="B18" s="163">
        <f>SUM(B16:B17)</f>
        <v>44586928.37776759</v>
      </c>
      <c r="C18" s="226">
        <f>SUM(C16:C17)</f>
        <v>410624.1528030297</v>
      </c>
      <c r="D18" s="162"/>
      <c r="E18" s="162"/>
      <c r="F18" s="233">
        <f>F16/F17</f>
        <v>9.904732998785211E-05</v>
      </c>
      <c r="G18" t="s">
        <v>451</v>
      </c>
    </row>
    <row r="19" spans="1:8" ht="12.75">
      <c r="A19" s="165"/>
      <c r="B19" s="165"/>
      <c r="C19" s="167"/>
      <c r="D19" s="158"/>
      <c r="E19" s="158"/>
      <c r="F19" s="239">
        <f>F18*10</f>
        <v>0.000990473299878521</v>
      </c>
      <c r="G19" s="240" t="s">
        <v>452</v>
      </c>
      <c r="H19" s="82"/>
    </row>
    <row r="20" spans="1:6" ht="12.75">
      <c r="A20" s="227" t="s">
        <v>0</v>
      </c>
      <c r="B20" s="227"/>
      <c r="C20" s="227"/>
      <c r="D20" s="227"/>
      <c r="E20" s="227"/>
      <c r="F20" s="200"/>
    </row>
    <row r="21" spans="1:6" ht="12.75">
      <c r="A21" s="158" t="s">
        <v>309</v>
      </c>
      <c r="B21" s="158"/>
      <c r="C21" s="158"/>
      <c r="D21" s="168"/>
      <c r="E21" s="168"/>
      <c r="F21" s="168"/>
    </row>
    <row r="22" spans="1:6" ht="12.75">
      <c r="A22" s="158" t="s">
        <v>310</v>
      </c>
      <c r="B22" s="158"/>
      <c r="C22" s="158"/>
      <c r="D22" s="168"/>
      <c r="E22" s="168"/>
      <c r="F22" s="168"/>
    </row>
    <row r="23" spans="1:6" ht="12.75">
      <c r="A23" s="158" t="s">
        <v>311</v>
      </c>
      <c r="B23" s="158"/>
      <c r="C23" s="158"/>
      <c r="D23" s="168"/>
      <c r="E23" s="168"/>
      <c r="F23" s="168"/>
    </row>
    <row r="24" spans="1:6" ht="12.75">
      <c r="A24" s="158" t="s">
        <v>312</v>
      </c>
      <c r="B24" s="158"/>
      <c r="C24" s="158"/>
      <c r="D24" s="168"/>
      <c r="E24" s="168"/>
      <c r="F24" s="168"/>
    </row>
    <row r="25" spans="1:6" ht="12.75">
      <c r="A25" s="158"/>
      <c r="B25" s="158"/>
      <c r="C25" s="158"/>
      <c r="D25" s="168"/>
      <c r="E25" s="168"/>
      <c r="F25" s="168"/>
    </row>
    <row r="26" spans="1:6" ht="12.75">
      <c r="A26" s="158"/>
      <c r="B26" s="158"/>
      <c r="C26" s="158"/>
      <c r="D26" s="168"/>
      <c r="E26" s="168"/>
      <c r="F26" s="201"/>
    </row>
    <row r="27" spans="1:6" ht="12.75">
      <c r="A27" s="485" t="s">
        <v>313</v>
      </c>
      <c r="B27" s="486"/>
      <c r="C27" s="158"/>
      <c r="D27" s="158"/>
      <c r="E27" s="158"/>
      <c r="F27" s="168"/>
    </row>
    <row r="28" spans="1:6" ht="12.75">
      <c r="A28" s="169" t="s">
        <v>314</v>
      </c>
      <c r="B28" s="170">
        <v>10</v>
      </c>
      <c r="C28" s="47"/>
      <c r="D28" s="47"/>
      <c r="E28" s="47"/>
      <c r="F28" s="168"/>
    </row>
    <row r="29" spans="1:5" ht="12.75">
      <c r="A29" s="60"/>
      <c r="B29" s="172"/>
      <c r="C29" s="47"/>
      <c r="D29" s="47"/>
      <c r="E29" s="47"/>
    </row>
    <row r="30" spans="1:6" ht="12.75">
      <c r="A30" s="485" t="s">
        <v>299</v>
      </c>
      <c r="B30" s="486"/>
      <c r="C30" s="173"/>
      <c r="D30" s="47"/>
      <c r="E30" s="47"/>
      <c r="F30" s="171"/>
    </row>
    <row r="31" spans="1:7" ht="12.75">
      <c r="A31" s="174" t="s">
        <v>315</v>
      </c>
      <c r="B31" s="82">
        <v>0.0001904</v>
      </c>
      <c r="C31" s="490">
        <v>1.86</v>
      </c>
      <c r="D31" s="491" t="s">
        <v>427</v>
      </c>
      <c r="E31" s="492"/>
      <c r="F31" s="202"/>
      <c r="G31" s="82"/>
    </row>
    <row r="32" spans="1:7" ht="12.75">
      <c r="A32" s="60"/>
      <c r="B32" s="60"/>
      <c r="C32" s="60"/>
      <c r="D32" s="47"/>
      <c r="E32" s="47"/>
      <c r="F32" s="202"/>
      <c r="G32" s="82"/>
    </row>
    <row r="33" spans="1:6" ht="12.75">
      <c r="A33" s="485" t="s">
        <v>316</v>
      </c>
      <c r="B33" s="486"/>
      <c r="C33" s="60"/>
      <c r="D33" s="47"/>
      <c r="E33" s="47"/>
      <c r="F33" s="202"/>
    </row>
    <row r="34" spans="1:6" ht="12.75">
      <c r="A34" s="175" t="s">
        <v>317</v>
      </c>
      <c r="B34" s="176">
        <f>'[3]Cool Roof (Residential)'!D44</f>
        <v>116313726.202872</v>
      </c>
      <c r="C34" s="493">
        <f>B34*0.09290304</f>
        <v>10805898.757974466</v>
      </c>
      <c r="D34" s="492" t="s">
        <v>428</v>
      </c>
      <c r="E34" s="47"/>
      <c r="F34" s="202"/>
    </row>
    <row r="35" spans="1:6" ht="12.75">
      <c r="A35" s="175" t="s">
        <v>318</v>
      </c>
      <c r="B35" s="176">
        <v>30</v>
      </c>
      <c r="C35" s="492">
        <f>C34*B36</f>
        <v>54029.49378987233</v>
      </c>
      <c r="D35" s="492" t="s">
        <v>429</v>
      </c>
      <c r="E35" s="47"/>
      <c r="F35" s="168"/>
    </row>
    <row r="36" spans="1:6" ht="12.75">
      <c r="A36" s="169" t="s">
        <v>319</v>
      </c>
      <c r="B36" s="177">
        <v>0.005</v>
      </c>
      <c r="C36" s="60"/>
      <c r="D36" s="47"/>
      <c r="E36" s="47"/>
      <c r="F36" s="171"/>
    </row>
    <row r="37" spans="1:6" ht="12.75">
      <c r="A37" s="47"/>
      <c r="B37" s="47"/>
      <c r="C37" s="47"/>
      <c r="D37" s="47"/>
      <c r="E37" s="47"/>
      <c r="F37" s="201"/>
    </row>
    <row r="38" spans="1:6" ht="12.75">
      <c r="A38" s="485" t="s">
        <v>320</v>
      </c>
      <c r="B38" s="487"/>
      <c r="C38" s="487"/>
      <c r="D38" s="487"/>
      <c r="E38" s="486"/>
      <c r="F38" s="202"/>
    </row>
    <row r="39" spans="1:6" ht="12.75">
      <c r="A39" s="181" t="s">
        <v>321</v>
      </c>
      <c r="B39" s="182" t="s">
        <v>322</v>
      </c>
      <c r="C39" s="183" t="s">
        <v>37</v>
      </c>
      <c r="D39" s="184" t="s">
        <v>323</v>
      </c>
      <c r="E39" s="185" t="s">
        <v>324</v>
      </c>
      <c r="F39" s="202"/>
    </row>
    <row r="40" spans="1:6" ht="12.75">
      <c r="A40" s="186" t="s">
        <v>64</v>
      </c>
      <c r="B40" s="187" t="s">
        <v>325</v>
      </c>
      <c r="C40" s="188">
        <v>79816</v>
      </c>
      <c r="D40" s="189">
        <v>116313726.202872</v>
      </c>
      <c r="E40" s="190">
        <f aca="true" t="shared" si="0" ref="E40:E45">D40/C40</f>
        <v>1457.273306140022</v>
      </c>
      <c r="F40" s="202"/>
    </row>
    <row r="41" spans="1:6" ht="12.75">
      <c r="A41" s="186" t="s">
        <v>300</v>
      </c>
      <c r="B41" s="187" t="s">
        <v>326</v>
      </c>
      <c r="C41" s="188">
        <v>3991</v>
      </c>
      <c r="D41" s="189">
        <v>29570021.73978</v>
      </c>
      <c r="E41" s="190">
        <f t="shared" si="0"/>
        <v>7409.176081127537</v>
      </c>
      <c r="F41" s="202"/>
    </row>
    <row r="42" spans="1:6" ht="12.75">
      <c r="A42" s="186" t="s">
        <v>327</v>
      </c>
      <c r="B42" s="187" t="s">
        <v>328</v>
      </c>
      <c r="C42" s="188">
        <v>2761</v>
      </c>
      <c r="D42" s="189">
        <v>6650190.045319</v>
      </c>
      <c r="E42" s="190">
        <f t="shared" si="0"/>
        <v>2408.616459731619</v>
      </c>
      <c r="F42" s="202"/>
    </row>
    <row r="43" spans="1:6" ht="12.75">
      <c r="A43" s="186" t="s">
        <v>329</v>
      </c>
      <c r="B43" s="187" t="s">
        <v>330</v>
      </c>
      <c r="C43" s="188">
        <v>3199</v>
      </c>
      <c r="D43" s="189">
        <v>36507697.233027</v>
      </c>
      <c r="E43" s="190">
        <f t="shared" si="0"/>
        <v>11412.221704603628</v>
      </c>
      <c r="F43" s="202"/>
    </row>
    <row r="44" spans="1:6" ht="12.75">
      <c r="A44" s="186" t="s">
        <v>331</v>
      </c>
      <c r="B44" s="187" t="s">
        <v>332</v>
      </c>
      <c r="C44" s="188">
        <v>1794</v>
      </c>
      <c r="D44" s="189">
        <v>23856288.836797</v>
      </c>
      <c r="E44" s="190">
        <f t="shared" si="0"/>
        <v>13297.81986443534</v>
      </c>
      <c r="F44" s="202"/>
    </row>
    <row r="45" spans="1:6" ht="12.75">
      <c r="A45" s="191" t="s">
        <v>333</v>
      </c>
      <c r="B45" s="192" t="s">
        <v>334</v>
      </c>
      <c r="C45" s="193">
        <v>1395</v>
      </c>
      <c r="D45" s="194">
        <v>4514432.431914</v>
      </c>
      <c r="E45" s="195">
        <f t="shared" si="0"/>
        <v>3236.1522809419353</v>
      </c>
      <c r="F45" s="202"/>
    </row>
    <row r="46" spans="1:6" ht="12.75">
      <c r="A46" s="187"/>
      <c r="B46" s="187"/>
      <c r="C46" s="188"/>
      <c r="D46" s="189"/>
      <c r="E46" s="189"/>
      <c r="F46" s="202"/>
    </row>
    <row r="47" ht="12.75">
      <c r="F47" s="202"/>
    </row>
    <row r="48" ht="16.5" thickBot="1">
      <c r="A48" s="494" t="s">
        <v>300</v>
      </c>
    </row>
    <row r="49" spans="1:5" ht="12.75">
      <c r="A49" s="482" t="s">
        <v>335</v>
      </c>
      <c r="B49" s="483" t="s">
        <v>336</v>
      </c>
      <c r="C49" s="158"/>
      <c r="D49" s="158"/>
      <c r="E49" s="158"/>
    </row>
    <row r="50" spans="1:7" ht="12.75">
      <c r="A50" s="159" t="s">
        <v>337</v>
      </c>
      <c r="B50" s="160">
        <f>(B55*B70)</f>
        <v>6416.393068871256</v>
      </c>
      <c r="C50" s="162"/>
      <c r="D50" s="162"/>
      <c r="E50" s="162"/>
      <c r="G50" s="219"/>
    </row>
    <row r="51" spans="1:7" ht="12.75">
      <c r="A51" s="159" t="s">
        <v>338</v>
      </c>
      <c r="B51" s="160">
        <f>(B56*B70)</f>
        <v>962.4589603306883</v>
      </c>
      <c r="C51" s="162"/>
      <c r="D51" s="162"/>
      <c r="E51" s="162"/>
      <c r="G51" s="82"/>
    </row>
    <row r="52" spans="1:9" ht="13.5" thickBot="1">
      <c r="A52" s="161" t="s">
        <v>40</v>
      </c>
      <c r="B52" s="163">
        <f>SUM(B50:B51)</f>
        <v>7378.852029201945</v>
      </c>
      <c r="C52" s="158"/>
      <c r="D52" s="158"/>
      <c r="E52" s="158"/>
      <c r="G52" s="222"/>
      <c r="I52" s="204"/>
    </row>
    <row r="53" spans="1:5" ht="13.5" thickBot="1">
      <c r="A53" s="164"/>
      <c r="B53" s="164"/>
      <c r="C53" s="165"/>
      <c r="D53" s="165"/>
      <c r="E53" s="165"/>
    </row>
    <row r="54" spans="1:5" ht="12.75">
      <c r="A54" s="482" t="s">
        <v>339</v>
      </c>
      <c r="B54" s="483" t="s">
        <v>340</v>
      </c>
      <c r="C54" s="488" t="s">
        <v>430</v>
      </c>
      <c r="D54" s="488" t="s">
        <v>431</v>
      </c>
      <c r="E54" s="489"/>
    </row>
    <row r="55" spans="1:5" ht="12.75">
      <c r="A55" s="159" t="s">
        <v>341</v>
      </c>
      <c r="B55" s="166">
        <f>B73*(1/B74)*B67</f>
        <v>33699543.428945675</v>
      </c>
      <c r="C55" s="162">
        <f>C73*0.33/10</f>
        <v>309948.2130849466</v>
      </c>
      <c r="D55" s="162">
        <f>C57*C70</f>
        <v>663852.7182073948</v>
      </c>
      <c r="E55" s="82" t="s">
        <v>432</v>
      </c>
    </row>
    <row r="56" spans="1:7" ht="12.75">
      <c r="A56" s="159" t="s">
        <v>342</v>
      </c>
      <c r="B56" s="166">
        <f>B73*B75*B67</f>
        <v>5054931.514341851</v>
      </c>
      <c r="C56" s="223">
        <f>C74</f>
        <v>46961.85046741615</v>
      </c>
      <c r="D56" s="162">
        <f>D55*0.00110231131</f>
        <v>731.7723594542542</v>
      </c>
      <c r="E56" s="82" t="s">
        <v>433</v>
      </c>
      <c r="F56" s="219">
        <f>D56</f>
        <v>731.7723594542542</v>
      </c>
      <c r="G56" t="s">
        <v>438</v>
      </c>
    </row>
    <row r="57" spans="1:7" ht="13.5" thickBot="1">
      <c r="A57" s="161" t="s">
        <v>40</v>
      </c>
      <c r="B57" s="178">
        <f>SUM(B55:B56)</f>
        <v>38754474.94328753</v>
      </c>
      <c r="C57" s="162">
        <f>SUM(C55:C56)</f>
        <v>356910.0635523628</v>
      </c>
      <c r="D57" s="162"/>
      <c r="E57" s="82"/>
      <c r="F57" s="82">
        <v>8500000</v>
      </c>
      <c r="G57" t="s">
        <v>439</v>
      </c>
    </row>
    <row r="58" spans="1:7" ht="12.75">
      <c r="A58" s="165"/>
      <c r="B58" s="165"/>
      <c r="C58" s="167"/>
      <c r="D58" s="158"/>
      <c r="E58" s="158"/>
      <c r="F58" s="233">
        <f>F56/F57</f>
        <v>8.609086581814756E-05</v>
      </c>
      <c r="G58" t="s">
        <v>451</v>
      </c>
    </row>
    <row r="59" spans="1:8" ht="12.75">
      <c r="A59" s="227" t="s">
        <v>1</v>
      </c>
      <c r="B59" s="227"/>
      <c r="C59" s="227"/>
      <c r="D59" s="227"/>
      <c r="E59" s="227"/>
      <c r="F59" s="235">
        <f>F58*10</f>
        <v>0.0008609086581814756</v>
      </c>
      <c r="G59" s="126" t="s">
        <v>452</v>
      </c>
      <c r="H59" s="82"/>
    </row>
    <row r="60" spans="1:5" ht="12.75">
      <c r="A60" s="158" t="s">
        <v>343</v>
      </c>
      <c r="B60" s="158"/>
      <c r="C60" s="158"/>
      <c r="D60" s="168"/>
      <c r="E60" s="168"/>
    </row>
    <row r="61" spans="1:5" ht="12.75">
      <c r="A61" s="158" t="s">
        <v>344</v>
      </c>
      <c r="B61" s="158"/>
      <c r="C61" s="158"/>
      <c r="D61" s="168"/>
      <c r="E61" s="168"/>
    </row>
    <row r="62" spans="1:5" ht="12.75">
      <c r="A62" s="158" t="s">
        <v>345</v>
      </c>
      <c r="B62" s="158"/>
      <c r="C62" s="158"/>
      <c r="D62" s="168"/>
      <c r="E62" s="168"/>
    </row>
    <row r="63" spans="1:5" ht="12.75">
      <c r="A63" s="158" t="s">
        <v>346</v>
      </c>
      <c r="B63" s="158"/>
      <c r="C63" s="158"/>
      <c r="D63" s="168"/>
      <c r="E63" s="168"/>
    </row>
    <row r="64" spans="1:5" ht="12.75">
      <c r="A64" s="158"/>
      <c r="B64" s="158"/>
      <c r="C64" s="158"/>
      <c r="D64" s="168"/>
      <c r="E64" s="168"/>
    </row>
    <row r="65" spans="1:5" ht="12.75">
      <c r="A65" s="158"/>
      <c r="B65" s="158"/>
      <c r="C65" s="158"/>
      <c r="D65" s="168"/>
      <c r="E65" s="168"/>
    </row>
    <row r="66" spans="1:5" ht="12.75">
      <c r="A66" s="485" t="s">
        <v>347</v>
      </c>
      <c r="B66" s="486"/>
      <c r="C66" s="158"/>
      <c r="D66" s="158"/>
      <c r="E66" s="158"/>
    </row>
    <row r="67" spans="1:5" ht="12.75">
      <c r="A67" s="169" t="s">
        <v>348</v>
      </c>
      <c r="B67" s="224">
        <v>10</v>
      </c>
      <c r="C67" s="47"/>
      <c r="D67" s="47"/>
      <c r="E67" s="47"/>
    </row>
    <row r="68" spans="1:5" ht="12.75">
      <c r="A68" s="60"/>
      <c r="B68" s="172"/>
      <c r="C68" s="47"/>
      <c r="D68" s="47"/>
      <c r="E68" s="47"/>
    </row>
    <row r="69" spans="1:5" ht="12.75">
      <c r="A69" s="485" t="s">
        <v>299</v>
      </c>
      <c r="B69" s="486"/>
      <c r="C69" s="173"/>
      <c r="D69" s="47"/>
      <c r="E69" s="47"/>
    </row>
    <row r="70" spans="1:6" ht="12.75">
      <c r="A70" s="174" t="s">
        <v>349</v>
      </c>
      <c r="B70" s="82">
        <v>0.0001904</v>
      </c>
      <c r="C70" s="490">
        <v>1.86</v>
      </c>
      <c r="D70" s="491" t="s">
        <v>427</v>
      </c>
      <c r="E70" s="492"/>
      <c r="F70" s="126"/>
    </row>
    <row r="71" spans="1:5" ht="12.75">
      <c r="A71" s="60"/>
      <c r="B71" s="60"/>
      <c r="C71" s="60"/>
      <c r="D71" s="47"/>
      <c r="E71" s="47"/>
    </row>
    <row r="72" spans="1:5" ht="12.75">
      <c r="A72" s="485" t="s">
        <v>350</v>
      </c>
      <c r="B72" s="486"/>
      <c r="C72" s="60"/>
      <c r="D72" s="47"/>
      <c r="E72" s="47"/>
    </row>
    <row r="73" spans="1:5" ht="12.75">
      <c r="A73" s="175" t="s">
        <v>351</v>
      </c>
      <c r="B73" s="176">
        <f>SUM(D81:D85)</f>
        <v>101098630.28683701</v>
      </c>
      <c r="C73" s="493">
        <f>B73*0.09290304</f>
        <v>9392370.09348323</v>
      </c>
      <c r="D73" s="492" t="s">
        <v>428</v>
      </c>
      <c r="E73" s="47"/>
    </row>
    <row r="74" spans="1:5" ht="12.75">
      <c r="A74" s="175" t="s">
        <v>352</v>
      </c>
      <c r="B74" s="225">
        <v>30</v>
      </c>
      <c r="C74" s="492">
        <f>C73*B75</f>
        <v>46961.85046741615</v>
      </c>
      <c r="D74" s="492" t="s">
        <v>429</v>
      </c>
      <c r="E74" s="47"/>
    </row>
    <row r="75" spans="1:5" ht="12.75">
      <c r="A75" s="169" t="s">
        <v>353</v>
      </c>
      <c r="B75" s="177">
        <v>0.005</v>
      </c>
      <c r="C75" s="180"/>
      <c r="D75" s="47"/>
      <c r="E75" s="47"/>
    </row>
    <row r="76" spans="1:5" ht="12.75">
      <c r="A76" s="60"/>
      <c r="B76" s="60"/>
      <c r="C76" s="60"/>
      <c r="D76" s="47"/>
      <c r="E76" s="47"/>
    </row>
    <row r="77" spans="1:5" ht="12.75">
      <c r="A77" s="47"/>
      <c r="B77" s="47"/>
      <c r="C77" s="47"/>
      <c r="D77" s="47"/>
      <c r="E77" s="47"/>
    </row>
    <row r="78" spans="1:5" ht="12.75">
      <c r="A78" s="485" t="s">
        <v>354</v>
      </c>
      <c r="B78" s="487"/>
      <c r="C78" s="487"/>
      <c r="D78" s="487"/>
      <c r="E78" s="486"/>
    </row>
    <row r="79" spans="1:5" ht="12.75">
      <c r="A79" s="181" t="s">
        <v>321</v>
      </c>
      <c r="B79" s="182" t="s">
        <v>322</v>
      </c>
      <c r="C79" s="183" t="s">
        <v>37</v>
      </c>
      <c r="D79" s="184" t="s">
        <v>323</v>
      </c>
      <c r="E79" s="185" t="s">
        <v>355</v>
      </c>
    </row>
    <row r="80" spans="1:5" ht="12.75">
      <c r="A80" s="186" t="s">
        <v>64</v>
      </c>
      <c r="B80" s="187" t="s">
        <v>325</v>
      </c>
      <c r="C80" s="188">
        <v>79816</v>
      </c>
      <c r="D80" s="189">
        <v>116313726.202872</v>
      </c>
      <c r="E80" s="190">
        <f aca="true" t="shared" si="1" ref="E80:E85">D80/C80</f>
        <v>1457.273306140022</v>
      </c>
    </row>
    <row r="81" spans="1:5" ht="12.75">
      <c r="A81" s="186" t="s">
        <v>300</v>
      </c>
      <c r="B81" s="187" t="s">
        <v>326</v>
      </c>
      <c r="C81" s="188">
        <v>3991</v>
      </c>
      <c r="D81" s="189">
        <v>29570021.73978</v>
      </c>
      <c r="E81" s="190">
        <f t="shared" si="1"/>
        <v>7409.176081127537</v>
      </c>
    </row>
    <row r="82" spans="1:5" ht="12.75">
      <c r="A82" s="186" t="s">
        <v>327</v>
      </c>
      <c r="B82" s="187" t="s">
        <v>328</v>
      </c>
      <c r="C82" s="188">
        <v>2761</v>
      </c>
      <c r="D82" s="189">
        <v>6650190.045319</v>
      </c>
      <c r="E82" s="190">
        <f t="shared" si="1"/>
        <v>2408.616459731619</v>
      </c>
    </row>
    <row r="83" spans="1:5" ht="12.75">
      <c r="A83" s="186" t="s">
        <v>329</v>
      </c>
      <c r="B83" s="187" t="s">
        <v>330</v>
      </c>
      <c r="C83" s="188">
        <v>3199</v>
      </c>
      <c r="D83" s="189">
        <v>36507697.233027</v>
      </c>
      <c r="E83" s="190">
        <f t="shared" si="1"/>
        <v>11412.221704603628</v>
      </c>
    </row>
    <row r="84" spans="1:5" ht="12.75">
      <c r="A84" s="186" t="s">
        <v>331</v>
      </c>
      <c r="B84" s="187" t="s">
        <v>332</v>
      </c>
      <c r="C84" s="188">
        <v>1794</v>
      </c>
      <c r="D84" s="189">
        <v>23856288.836797</v>
      </c>
      <c r="E84" s="190">
        <f t="shared" si="1"/>
        <v>13297.81986443534</v>
      </c>
    </row>
    <row r="85" spans="1:5" ht="12.75">
      <c r="A85" s="191" t="s">
        <v>333</v>
      </c>
      <c r="B85" s="192" t="s">
        <v>334</v>
      </c>
      <c r="C85" s="193">
        <v>1395</v>
      </c>
      <c r="D85" s="194">
        <v>4514432.431914</v>
      </c>
      <c r="E85" s="195">
        <f t="shared" si="1"/>
        <v>3236.1522809419353</v>
      </c>
    </row>
    <row r="88" ht="12.75">
      <c r="A88" s="4" t="s">
        <v>270</v>
      </c>
    </row>
    <row r="89" ht="12.75">
      <c r="A89" s="94" t="s">
        <v>514</v>
      </c>
    </row>
  </sheetData>
  <sheetProtection/>
  <printOptions/>
  <pageMargins left="0.75" right="0.75" top="1" bottom="1" header="0.5" footer="0.5"/>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dimension ref="A1:G47"/>
  <sheetViews>
    <sheetView zoomScalePageLayoutView="0" workbookViewId="0" topLeftCell="A3">
      <selection activeCell="D3" sqref="D3"/>
    </sheetView>
  </sheetViews>
  <sheetFormatPr defaultColWidth="9.140625" defaultRowHeight="12.75"/>
  <cols>
    <col min="1" max="1" width="41.7109375" style="0" customWidth="1"/>
    <col min="2" max="2" width="20.28125" style="0" bestFit="1" customWidth="1"/>
    <col min="4" max="4" width="16.421875" style="0" customWidth="1"/>
    <col min="5" max="5" width="29.140625" style="0" customWidth="1"/>
  </cols>
  <sheetData>
    <row r="1" spans="1:5" ht="18">
      <c r="A1" s="506" t="s">
        <v>632</v>
      </c>
      <c r="B1" s="30"/>
      <c r="C1" s="30"/>
      <c r="D1" s="30"/>
      <c r="E1" s="30"/>
    </row>
    <row r="2" spans="1:5" ht="15">
      <c r="A2" s="155" t="s">
        <v>423</v>
      </c>
      <c r="B2" s="156"/>
      <c r="C2" s="156"/>
      <c r="D2" s="156"/>
      <c r="E2" s="156"/>
    </row>
    <row r="3" spans="1:5" ht="13.5" thickBot="1">
      <c r="A3" s="157"/>
      <c r="B3" s="158"/>
      <c r="C3" s="158"/>
      <c r="D3" s="158"/>
      <c r="E3" s="158"/>
    </row>
    <row r="4" spans="1:5" ht="12.75">
      <c r="A4" s="482" t="s">
        <v>356</v>
      </c>
      <c r="B4" s="483" t="s">
        <v>357</v>
      </c>
      <c r="C4" s="158"/>
      <c r="D4" s="158"/>
      <c r="E4" s="158"/>
    </row>
    <row r="5" spans="1:5" ht="12.75">
      <c r="A5" s="159" t="s">
        <v>358</v>
      </c>
      <c r="B5" s="160">
        <f>B10*B27</f>
        <v>647.0822373640403</v>
      </c>
      <c r="C5" s="162"/>
      <c r="D5" s="162"/>
      <c r="E5" s="158"/>
    </row>
    <row r="6" spans="1:5" ht="12.75">
      <c r="A6" s="159" t="s">
        <v>359</v>
      </c>
      <c r="B6" s="160">
        <f>B11*B27</f>
        <v>97.06233560460603</v>
      </c>
      <c r="C6" s="162"/>
      <c r="D6" s="162"/>
      <c r="E6" s="162"/>
    </row>
    <row r="7" spans="1:5" ht="13.5" thickBot="1">
      <c r="A7" s="161" t="s">
        <v>40</v>
      </c>
      <c r="B7" s="163">
        <f>SUM(B5:B6)</f>
        <v>744.1445729686463</v>
      </c>
      <c r="C7" s="158"/>
      <c r="D7" s="158">
        <f>B7/10</f>
        <v>74.41445729686464</v>
      </c>
      <c r="E7" s="158" t="s">
        <v>434</v>
      </c>
    </row>
    <row r="8" spans="1:5" ht="13.5" thickBot="1">
      <c r="A8" s="164"/>
      <c r="B8" s="164"/>
      <c r="C8" s="165"/>
      <c r="D8" s="165">
        <v>8500000</v>
      </c>
      <c r="E8" s="165" t="s">
        <v>435</v>
      </c>
    </row>
    <row r="9" spans="1:7" ht="12.75">
      <c r="A9" s="482" t="s">
        <v>360</v>
      </c>
      <c r="B9" s="483" t="s">
        <v>361</v>
      </c>
      <c r="C9" s="158"/>
      <c r="D9" s="236">
        <f>D7/D8</f>
        <v>8.754642034925251E-06</v>
      </c>
      <c r="E9" s="30" t="s">
        <v>455</v>
      </c>
      <c r="F9" s="237"/>
      <c r="G9" s="82"/>
    </row>
    <row r="10" spans="1:5" ht="12.75">
      <c r="A10" s="159" t="s">
        <v>362</v>
      </c>
      <c r="B10" s="166">
        <f>B31*(1/B32)*B23</f>
        <v>33699543.428945675</v>
      </c>
      <c r="C10" s="162"/>
      <c r="D10" s="238">
        <f>D9*10</f>
        <v>8.754642034925251E-05</v>
      </c>
      <c r="E10" s="297" t="s">
        <v>452</v>
      </c>
    </row>
    <row r="11" spans="1:5" ht="12.75">
      <c r="A11" s="159" t="s">
        <v>363</v>
      </c>
      <c r="B11" s="166">
        <f>B31*B33*B23</f>
        <v>5054931.514341851</v>
      </c>
      <c r="C11" s="162"/>
      <c r="D11" s="162"/>
      <c r="E11" s="162"/>
    </row>
    <row r="12" spans="1:5" ht="13.5" thickBot="1">
      <c r="A12" s="161" t="s">
        <v>40</v>
      </c>
      <c r="B12" s="178">
        <f>SUM(B10:B11)</f>
        <v>38754474.94328753</v>
      </c>
      <c r="C12" s="158"/>
      <c r="D12" s="158"/>
      <c r="E12" s="158"/>
    </row>
    <row r="13" spans="1:5" ht="12.75">
      <c r="A13" s="165"/>
      <c r="B13" s="165"/>
      <c r="C13" s="167"/>
      <c r="D13" s="158"/>
      <c r="E13" s="158"/>
    </row>
    <row r="14" spans="1:6" ht="12.75">
      <c r="A14" s="227" t="s">
        <v>128</v>
      </c>
      <c r="B14" s="227"/>
      <c r="C14" s="227"/>
      <c r="D14" s="227"/>
      <c r="E14" s="227"/>
      <c r="F14" s="82"/>
    </row>
    <row r="15" spans="1:5" ht="12.75">
      <c r="A15" s="157"/>
      <c r="B15" s="158"/>
      <c r="C15" s="158"/>
      <c r="D15" s="158"/>
      <c r="E15" s="158"/>
    </row>
    <row r="16" spans="1:5" ht="12.75">
      <c r="A16" s="158" t="s">
        <v>20</v>
      </c>
      <c r="B16" s="158"/>
      <c r="C16" s="158"/>
      <c r="D16" s="168"/>
      <c r="E16" s="168"/>
    </row>
    <row r="17" spans="1:5" ht="12.75">
      <c r="A17" s="158" t="s">
        <v>21</v>
      </c>
      <c r="B17" s="158"/>
      <c r="C17" s="158"/>
      <c r="D17" s="168"/>
      <c r="E17" s="168"/>
    </row>
    <row r="18" spans="1:5" ht="12.75">
      <c r="A18" s="158" t="s">
        <v>22</v>
      </c>
      <c r="B18" s="158"/>
      <c r="C18" s="158"/>
      <c r="D18" s="168"/>
      <c r="E18" s="168"/>
    </row>
    <row r="19" spans="1:5" ht="12.75">
      <c r="A19" s="162" t="s">
        <v>23</v>
      </c>
      <c r="B19" s="162"/>
      <c r="C19" s="162"/>
      <c r="D19" s="168"/>
      <c r="E19" s="168"/>
    </row>
    <row r="20" spans="1:5" ht="12.75">
      <c r="A20" s="158"/>
      <c r="B20" s="158"/>
      <c r="C20" s="158"/>
      <c r="D20" s="168"/>
      <c r="E20" s="168"/>
    </row>
    <row r="21" spans="1:5" ht="12.75">
      <c r="A21" s="158"/>
      <c r="B21" s="158"/>
      <c r="C21" s="158"/>
      <c r="D21" s="168"/>
      <c r="E21" s="168"/>
    </row>
    <row r="22" spans="1:6" ht="12.75">
      <c r="A22" s="485" t="s">
        <v>24</v>
      </c>
      <c r="B22" s="486"/>
      <c r="C22" s="158"/>
      <c r="D22" s="158"/>
      <c r="E22" s="158"/>
      <c r="F22" s="82"/>
    </row>
    <row r="23" spans="1:6" ht="12.75">
      <c r="A23" s="169" t="s">
        <v>25</v>
      </c>
      <c r="B23" s="224">
        <v>10</v>
      </c>
      <c r="C23" s="47"/>
      <c r="D23" s="47"/>
      <c r="E23" s="47"/>
      <c r="F23" s="82"/>
    </row>
    <row r="24" spans="1:5" ht="12.75">
      <c r="A24" s="60"/>
      <c r="B24" s="172"/>
      <c r="C24" s="47"/>
      <c r="D24" s="47"/>
      <c r="E24" s="47"/>
    </row>
    <row r="25" spans="1:5" ht="12.75">
      <c r="A25" s="485" t="s">
        <v>26</v>
      </c>
      <c r="B25" s="486"/>
      <c r="C25" s="173"/>
      <c r="D25" s="47"/>
      <c r="E25" s="47"/>
    </row>
    <row r="26" spans="1:5" ht="12.75">
      <c r="A26" s="196" t="s">
        <v>27</v>
      </c>
      <c r="B26" s="197">
        <v>3.840302695663464E-05</v>
      </c>
      <c r="C26" s="179"/>
      <c r="D26" s="47"/>
      <c r="E26" s="47"/>
    </row>
    <row r="27" spans="1:5" ht="12.75">
      <c r="A27" s="175" t="s">
        <v>28</v>
      </c>
      <c r="B27" s="472">
        <f>B26/2</f>
        <v>1.920151347831732E-05</v>
      </c>
      <c r="C27" s="179"/>
      <c r="D27" s="47"/>
      <c r="E27" s="47"/>
    </row>
    <row r="28" spans="1:5" ht="12.75">
      <c r="A28" s="169" t="s">
        <v>29</v>
      </c>
      <c r="B28" s="198">
        <v>0.00194</v>
      </c>
      <c r="C28" s="179"/>
      <c r="D28" s="47"/>
      <c r="E28" s="47"/>
    </row>
    <row r="29" spans="1:5" ht="12.75">
      <c r="A29" s="60"/>
      <c r="B29" s="60"/>
      <c r="C29" s="199"/>
      <c r="D29" s="47"/>
      <c r="E29" s="47"/>
    </row>
    <row r="30" spans="1:5" ht="12.75">
      <c r="A30" s="485" t="s">
        <v>30</v>
      </c>
      <c r="B30" s="486"/>
      <c r="C30" s="60"/>
      <c r="D30" s="47"/>
      <c r="E30" s="47"/>
    </row>
    <row r="31" spans="1:5" ht="12.75">
      <c r="A31" s="175" t="s">
        <v>31</v>
      </c>
      <c r="B31" s="176">
        <f>SUM(D39:D43)</f>
        <v>101098630.28683701</v>
      </c>
      <c r="C31" s="158"/>
      <c r="D31" s="47"/>
      <c r="E31" s="47"/>
    </row>
    <row r="32" spans="1:5" ht="12.75">
      <c r="A32" s="175" t="s">
        <v>32</v>
      </c>
      <c r="B32" s="225">
        <v>30</v>
      </c>
      <c r="C32" s="47"/>
      <c r="D32" s="47"/>
      <c r="E32" s="47"/>
    </row>
    <row r="33" spans="1:5" ht="12.75">
      <c r="A33" s="169" t="s">
        <v>33</v>
      </c>
      <c r="B33" s="177">
        <v>0.005</v>
      </c>
      <c r="C33" s="60"/>
      <c r="D33" s="47"/>
      <c r="E33" s="47"/>
    </row>
    <row r="34" spans="1:5" ht="12.75">
      <c r="A34" s="60"/>
      <c r="B34" s="60"/>
      <c r="C34" s="60"/>
      <c r="D34" s="47"/>
      <c r="E34" s="47"/>
    </row>
    <row r="35" spans="1:5" ht="12.75">
      <c r="A35" s="47"/>
      <c r="B35" s="47"/>
      <c r="C35" s="47"/>
      <c r="D35" s="47"/>
      <c r="E35" s="47"/>
    </row>
    <row r="36" spans="1:5" ht="12.75">
      <c r="A36" s="485" t="s">
        <v>34</v>
      </c>
      <c r="B36" s="487"/>
      <c r="C36" s="487"/>
      <c r="D36" s="487"/>
      <c r="E36" s="486"/>
    </row>
    <row r="37" spans="1:5" ht="12.75">
      <c r="A37" s="181" t="s">
        <v>321</v>
      </c>
      <c r="B37" s="182" t="s">
        <v>322</v>
      </c>
      <c r="C37" s="183" t="s">
        <v>37</v>
      </c>
      <c r="D37" s="184" t="s">
        <v>323</v>
      </c>
      <c r="E37" s="185" t="s">
        <v>35</v>
      </c>
    </row>
    <row r="38" spans="1:5" ht="12.75">
      <c r="A38" s="186" t="s">
        <v>64</v>
      </c>
      <c r="B38" s="187" t="s">
        <v>325</v>
      </c>
      <c r="C38" s="188">
        <v>79816</v>
      </c>
      <c r="D38" s="189">
        <v>116313726.202872</v>
      </c>
      <c r="E38" s="190">
        <f aca="true" t="shared" si="0" ref="E38:E43">D38/C38</f>
        <v>1457.273306140022</v>
      </c>
    </row>
    <row r="39" spans="1:5" ht="12.75">
      <c r="A39" s="186" t="s">
        <v>300</v>
      </c>
      <c r="B39" s="187" t="s">
        <v>326</v>
      </c>
      <c r="C39" s="188">
        <v>3991</v>
      </c>
      <c r="D39" s="189">
        <v>29570021.73978</v>
      </c>
      <c r="E39" s="190">
        <f t="shared" si="0"/>
        <v>7409.176081127537</v>
      </c>
    </row>
    <row r="40" spans="1:5" ht="12.75">
      <c r="A40" s="186" t="s">
        <v>327</v>
      </c>
      <c r="B40" s="187" t="s">
        <v>328</v>
      </c>
      <c r="C40" s="188">
        <v>2761</v>
      </c>
      <c r="D40" s="189">
        <v>6650190.045319</v>
      </c>
      <c r="E40" s="190">
        <f t="shared" si="0"/>
        <v>2408.616459731619</v>
      </c>
    </row>
    <row r="41" spans="1:5" ht="12.75">
      <c r="A41" s="186" t="s">
        <v>329</v>
      </c>
      <c r="B41" s="187" t="s">
        <v>330</v>
      </c>
      <c r="C41" s="188">
        <v>3199</v>
      </c>
      <c r="D41" s="189">
        <v>36507697.233027</v>
      </c>
      <c r="E41" s="190">
        <f t="shared" si="0"/>
        <v>11412.221704603628</v>
      </c>
    </row>
    <row r="42" spans="1:5" ht="12.75">
      <c r="A42" s="186" t="s">
        <v>331</v>
      </c>
      <c r="B42" s="187" t="s">
        <v>332</v>
      </c>
      <c r="C42" s="188">
        <v>1794</v>
      </c>
      <c r="D42" s="189">
        <v>23856288.836797</v>
      </c>
      <c r="E42" s="190">
        <f t="shared" si="0"/>
        <v>13297.81986443534</v>
      </c>
    </row>
    <row r="43" spans="1:5" ht="12.75">
      <c r="A43" s="191" t="s">
        <v>333</v>
      </c>
      <c r="B43" s="192" t="s">
        <v>334</v>
      </c>
      <c r="C43" s="193">
        <v>1395</v>
      </c>
      <c r="D43" s="194">
        <v>4514432.431914</v>
      </c>
      <c r="E43" s="195">
        <f t="shared" si="0"/>
        <v>3236.1522809419353</v>
      </c>
    </row>
    <row r="46" ht="12.75">
      <c r="A46" s="4" t="s">
        <v>270</v>
      </c>
    </row>
    <row r="47" ht="12.75">
      <c r="A47" s="94" t="s">
        <v>513</v>
      </c>
    </row>
  </sheetData>
  <sheetProtection/>
  <printOptions/>
  <pageMargins left="0.75" right="0.75" top="1" bottom="1" header="0.5" footer="0.5"/>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A1:F42"/>
  <sheetViews>
    <sheetView zoomScalePageLayoutView="0" workbookViewId="0" topLeftCell="A1">
      <selection activeCell="A1" sqref="A1"/>
    </sheetView>
  </sheetViews>
  <sheetFormatPr defaultColWidth="9.140625" defaultRowHeight="12.75"/>
  <cols>
    <col min="1" max="1" width="34.7109375" style="0" customWidth="1"/>
    <col min="2" max="2" width="22.8515625" style="96" customWidth="1"/>
    <col min="4" max="4" width="11.8515625" style="0" customWidth="1"/>
    <col min="5" max="5" width="22.7109375" style="0" bestFit="1" customWidth="1"/>
  </cols>
  <sheetData>
    <row r="1" ht="18">
      <c r="A1" s="501" t="s">
        <v>624</v>
      </c>
    </row>
    <row r="4" ht="12.75">
      <c r="A4" s="4" t="s">
        <v>475</v>
      </c>
    </row>
    <row r="5" ht="12.75">
      <c r="A5" t="s">
        <v>476</v>
      </c>
    </row>
    <row r="8" ht="12.75">
      <c r="A8" t="s">
        <v>477</v>
      </c>
    </row>
    <row r="9" spans="1:4" s="283" customFormat="1" ht="12.75" customHeight="1">
      <c r="A9" s="281" t="s">
        <v>478</v>
      </c>
      <c r="B9" s="282" t="s">
        <v>479</v>
      </c>
      <c r="D9" s="283" t="s">
        <v>480</v>
      </c>
    </row>
    <row r="10" spans="1:4" s="284" customFormat="1" ht="12.75">
      <c r="A10" s="289" t="s">
        <v>481</v>
      </c>
      <c r="B10" s="290">
        <v>0.0339</v>
      </c>
      <c r="D10" s="284" t="s">
        <v>482</v>
      </c>
    </row>
    <row r="11" spans="1:4" s="284" customFormat="1" ht="12.75">
      <c r="A11" s="289" t="s">
        <v>483</v>
      </c>
      <c r="B11" s="290">
        <v>0.0172</v>
      </c>
      <c r="D11" s="284" t="s">
        <v>482</v>
      </c>
    </row>
    <row r="12" spans="1:4" s="284" customFormat="1" ht="12.75">
      <c r="A12" s="289" t="s">
        <v>484</v>
      </c>
      <c r="B12" s="290">
        <v>0.0018</v>
      </c>
      <c r="D12" s="284" t="s">
        <v>482</v>
      </c>
    </row>
    <row r="13" spans="1:4" s="284" customFormat="1" ht="12.75">
      <c r="A13" s="289" t="s">
        <v>485</v>
      </c>
      <c r="B13" s="290">
        <v>0.0086</v>
      </c>
      <c r="D13" s="284" t="s">
        <v>482</v>
      </c>
    </row>
    <row r="14" spans="1:4" s="284" customFormat="1" ht="12.75">
      <c r="A14" s="289" t="s">
        <v>486</v>
      </c>
      <c r="B14" s="290">
        <v>0.0187</v>
      </c>
      <c r="D14" s="284" t="s">
        <v>482</v>
      </c>
    </row>
    <row r="15" spans="1:2" s="285" customFormat="1" ht="12.75">
      <c r="A15" s="291" t="s">
        <v>487</v>
      </c>
      <c r="B15" s="292">
        <v>0.0105</v>
      </c>
    </row>
    <row r="16" spans="1:4" s="285" customFormat="1" ht="12.75">
      <c r="A16" s="291" t="s">
        <v>488</v>
      </c>
      <c r="B16" s="292">
        <v>0.0502</v>
      </c>
      <c r="D16" s="285" t="s">
        <v>489</v>
      </c>
    </row>
    <row r="17" spans="1:2" s="284" customFormat="1" ht="12.75">
      <c r="A17" s="289" t="s">
        <v>490</v>
      </c>
      <c r="B17" s="290">
        <v>0.0059</v>
      </c>
    </row>
    <row r="18" spans="1:4" s="284" customFormat="1" ht="12.75">
      <c r="A18" s="289" t="s">
        <v>491</v>
      </c>
      <c r="B18" s="290">
        <v>0.0022</v>
      </c>
      <c r="D18" s="284" t="s">
        <v>492</v>
      </c>
    </row>
    <row r="19" spans="1:2" s="285" customFormat="1" ht="12.75">
      <c r="A19" s="291" t="s">
        <v>493</v>
      </c>
      <c r="B19" s="292">
        <v>0.0066</v>
      </c>
    </row>
    <row r="20" spans="1:2" s="284" customFormat="1" ht="12.75">
      <c r="A20" s="289" t="s">
        <v>494</v>
      </c>
      <c r="B20" s="290">
        <v>0.004</v>
      </c>
    </row>
    <row r="21" spans="1:4" s="284" customFormat="1" ht="12.75">
      <c r="A21" s="289" t="s">
        <v>495</v>
      </c>
      <c r="B21" s="290">
        <v>0.0017</v>
      </c>
      <c r="D21" s="284" t="s">
        <v>492</v>
      </c>
    </row>
    <row r="22" spans="1:4" s="284" customFormat="1" ht="12.75">
      <c r="A22" s="289" t="s">
        <v>496</v>
      </c>
      <c r="B22" s="290">
        <v>0.0052</v>
      </c>
      <c r="D22" s="284" t="s">
        <v>492</v>
      </c>
    </row>
    <row r="23" spans="1:4" s="284" customFormat="1" ht="12.75">
      <c r="A23" s="289" t="s">
        <v>497</v>
      </c>
      <c r="B23" s="290">
        <v>0.0071</v>
      </c>
      <c r="D23" s="284" t="s">
        <v>492</v>
      </c>
    </row>
    <row r="24" spans="1:2" s="284" customFormat="1" ht="12.75">
      <c r="A24" s="289" t="s">
        <v>498</v>
      </c>
      <c r="B24" s="290">
        <v>0.0035</v>
      </c>
    </row>
    <row r="25" spans="1:2" s="285" customFormat="1" ht="12.75">
      <c r="A25" s="291" t="s">
        <v>499</v>
      </c>
      <c r="B25" s="292">
        <v>0.0123</v>
      </c>
    </row>
    <row r="26" spans="1:4" s="285" customFormat="1" ht="12.75">
      <c r="A26" s="291" t="s">
        <v>500</v>
      </c>
      <c r="B26" s="292">
        <v>0.0102</v>
      </c>
      <c r="D26" s="285" t="s">
        <v>501</v>
      </c>
    </row>
    <row r="27" spans="1:3" s="283" customFormat="1" ht="12.75">
      <c r="A27" s="281" t="s">
        <v>40</v>
      </c>
      <c r="B27" s="293">
        <f>SUM(B10:B26)</f>
        <v>0.1996</v>
      </c>
      <c r="C27" s="283" t="s">
        <v>502</v>
      </c>
    </row>
    <row r="28" spans="3:5" ht="12.75">
      <c r="C28" s="4" t="s">
        <v>509</v>
      </c>
      <c r="D28" s="4"/>
      <c r="E28" s="4"/>
    </row>
    <row r="30" spans="3:6" ht="12.75">
      <c r="C30" s="126"/>
      <c r="D30" s="82"/>
      <c r="E30" s="82"/>
      <c r="F30" s="82"/>
    </row>
    <row r="31" spans="3:6" ht="12.75">
      <c r="C31" s="438"/>
      <c r="D31" s="438"/>
      <c r="E31" s="82"/>
      <c r="F31" s="150"/>
    </row>
    <row r="32" spans="1:6" ht="25.5">
      <c r="A32" s="289" t="s">
        <v>504</v>
      </c>
      <c r="B32" s="435">
        <f>+B17+0.5*(B18+B21+B22+B23)+B24+B20</f>
        <v>0.0215</v>
      </c>
      <c r="C32" s="439"/>
      <c r="D32" s="439"/>
      <c r="E32" s="82"/>
      <c r="F32" s="82"/>
    </row>
    <row r="33" spans="1:6" ht="25.5">
      <c r="A33" s="287" t="s">
        <v>505</v>
      </c>
      <c r="B33" s="288">
        <f>B25+B15+B19</f>
        <v>0.029400000000000003</v>
      </c>
      <c r="E33" s="294"/>
      <c r="F33" s="295"/>
    </row>
    <row r="34" spans="4:6" ht="12.75">
      <c r="D34" s="211"/>
      <c r="E34" s="294"/>
      <c r="F34" s="296"/>
    </row>
    <row r="35" spans="1:6" ht="12.75">
      <c r="A35" t="s">
        <v>510</v>
      </c>
      <c r="B35" s="1">
        <f>+'Boston GHG Inventory'!T14+'Boston GHG Inventory'!T15</f>
        <v>0.36594975654131195</v>
      </c>
      <c r="E35" s="294"/>
      <c r="F35" s="295"/>
    </row>
    <row r="36" spans="1:6" ht="15" customHeight="1">
      <c r="A36" s="298" t="s">
        <v>511</v>
      </c>
      <c r="B36" s="299">
        <f>+B32*B35</f>
        <v>0.007867919765638207</v>
      </c>
      <c r="E36" s="294"/>
      <c r="F36" s="241"/>
    </row>
    <row r="37" spans="1:6" ht="15" customHeight="1">
      <c r="A37" s="300" t="s">
        <v>512</v>
      </c>
      <c r="B37" s="301">
        <f>+B33*B35</f>
        <v>0.010758922842314573</v>
      </c>
      <c r="D37" s="211"/>
      <c r="E37" s="82"/>
      <c r="F37" s="82"/>
    </row>
    <row r="38" spans="2:6" ht="12.75">
      <c r="B38" s="1"/>
      <c r="E38" s="82"/>
      <c r="F38" s="82"/>
    </row>
    <row r="39" spans="1:2" ht="25.5">
      <c r="A39" s="286" t="s">
        <v>508</v>
      </c>
      <c r="B39" s="218">
        <f>+B37+B36</f>
        <v>0.01862684260795278</v>
      </c>
    </row>
    <row r="41" ht="12.75">
      <c r="D41" s="110"/>
    </row>
    <row r="42" ht="12.75">
      <c r="D42" s="110"/>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8" ht="12.75"/>
    <row r="89" ht="12.75"/>
    <row r="90" ht="12.75"/>
    <row r="91" ht="12.75"/>
    <row r="92" ht="12.75"/>
    <row r="93" ht="12.75"/>
  </sheetData>
  <sheetProtection/>
  <printOptions/>
  <pageMargins left="0.75" right="0.75" top="1" bottom="1"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9.140625" defaultRowHeight="12.75"/>
  <sheetData>
    <row r="1" ht="18">
      <c r="A1" s="501" t="s">
        <v>625</v>
      </c>
    </row>
    <row r="4" spans="1:9" ht="12.75">
      <c r="A4" s="75"/>
      <c r="D4" t="s">
        <v>123</v>
      </c>
      <c r="I4" s="4" t="s">
        <v>214</v>
      </c>
    </row>
    <row r="5" ht="12.75">
      <c r="I5" t="s">
        <v>248</v>
      </c>
    </row>
    <row r="6" spans="1:9" ht="12.75">
      <c r="A6" s="303" t="s">
        <v>119</v>
      </c>
      <c r="D6" s="1">
        <v>0.15</v>
      </c>
      <c r="I6" s="303"/>
    </row>
    <row r="7" spans="1:4" ht="12.75">
      <c r="A7" s="303" t="s">
        <v>118</v>
      </c>
      <c r="D7" s="1">
        <v>0.05</v>
      </c>
    </row>
    <row r="8" spans="1:4" ht="12.75">
      <c r="A8" t="s">
        <v>120</v>
      </c>
      <c r="D8" s="1">
        <f>+D6-D7</f>
        <v>0.09999999999999999</v>
      </c>
    </row>
    <row r="9" spans="1:4" ht="12.75">
      <c r="A9" t="s">
        <v>121</v>
      </c>
      <c r="D9" s="1">
        <v>0.025</v>
      </c>
    </row>
    <row r="10" spans="1:4" ht="12.75">
      <c r="A10" s="111" t="s">
        <v>122</v>
      </c>
      <c r="B10" s="111"/>
      <c r="C10" s="111"/>
      <c r="D10" s="122">
        <f>+D8-D9</f>
        <v>0.07499999999999998</v>
      </c>
    </row>
    <row r="13" ht="12.75">
      <c r="A13" s="4" t="s">
        <v>249</v>
      </c>
    </row>
    <row r="14" ht="12.75">
      <c r="A14" t="s">
        <v>250</v>
      </c>
    </row>
    <row r="15" ht="12.75">
      <c r="A15" t="s">
        <v>251</v>
      </c>
    </row>
    <row r="18" spans="1:2" ht="12.75">
      <c r="A18" s="126"/>
      <c r="B18" s="82"/>
    </row>
    <row r="19" spans="1:2" ht="12.75">
      <c r="A19" s="82"/>
      <c r="B19" s="82"/>
    </row>
    <row r="20" spans="1:2" ht="12.75">
      <c r="A20" s="82"/>
      <c r="B20" s="82"/>
    </row>
    <row r="21" spans="1:2" ht="12.75">
      <c r="A21" s="82"/>
      <c r="B21" s="82"/>
    </row>
    <row r="22" spans="1:2" ht="12.75">
      <c r="A22" s="82"/>
      <c r="B22" s="82"/>
    </row>
    <row r="23" spans="1:2" ht="12.75">
      <c r="A23" s="82"/>
      <c r="B23" s="82"/>
    </row>
    <row r="24" spans="1:2" ht="12.75">
      <c r="A24" s="82"/>
      <c r="B24" s="82"/>
    </row>
    <row r="25" spans="1:2" ht="12.75">
      <c r="A25" s="82"/>
      <c r="B25" s="82"/>
    </row>
    <row r="26" spans="1:2" ht="12.75">
      <c r="A26" s="82"/>
      <c r="B26" s="82"/>
    </row>
    <row r="27" spans="1:2" ht="12.75">
      <c r="A27" s="82"/>
      <c r="B27" s="82"/>
    </row>
    <row r="30" ht="12.75">
      <c r="A30" s="8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5"/>
  <sheetViews>
    <sheetView zoomScalePageLayoutView="0" workbookViewId="0" topLeftCell="A1">
      <selection activeCell="A10" sqref="A10"/>
    </sheetView>
  </sheetViews>
  <sheetFormatPr defaultColWidth="9.140625" defaultRowHeight="12.75"/>
  <cols>
    <col min="1" max="1" width="44.28125" style="0" customWidth="1"/>
    <col min="2" max="2" width="9.57421875" style="0" customWidth="1"/>
    <col min="3" max="3" width="7.57421875" style="0" customWidth="1"/>
    <col min="4" max="4" width="10.57421875" style="0" customWidth="1"/>
    <col min="5" max="5" width="15.421875" style="0" bestFit="1" customWidth="1"/>
    <col min="6" max="6" width="15.421875" style="0" customWidth="1"/>
    <col min="7" max="7" width="12.8515625" style="0" customWidth="1"/>
    <col min="8" max="8" width="12.7109375" style="0" customWidth="1"/>
    <col min="15" max="15" width="12.421875" style="0" customWidth="1"/>
  </cols>
  <sheetData>
    <row r="1" ht="18">
      <c r="A1" s="3" t="s">
        <v>36</v>
      </c>
    </row>
    <row r="2" ht="15">
      <c r="A2" s="496" t="s">
        <v>614</v>
      </c>
    </row>
    <row r="4" spans="2:7" ht="12.75">
      <c r="B4" s="4" t="s">
        <v>41</v>
      </c>
      <c r="C4" s="4"/>
      <c r="D4" s="4" t="s">
        <v>42</v>
      </c>
      <c r="E4" s="4"/>
      <c r="F4" s="4" t="s">
        <v>605</v>
      </c>
      <c r="G4" s="4"/>
    </row>
    <row r="5" spans="2:18" ht="13.5" thickBot="1">
      <c r="B5" s="4" t="s">
        <v>59</v>
      </c>
      <c r="C5" s="4" t="s">
        <v>43</v>
      </c>
      <c r="D5" s="4" t="s">
        <v>59</v>
      </c>
      <c r="E5" s="4" t="s">
        <v>43</v>
      </c>
      <c r="F5" s="4" t="s">
        <v>606</v>
      </c>
      <c r="G5" s="4"/>
      <c r="I5" s="104" t="s">
        <v>110</v>
      </c>
      <c r="J5" s="105"/>
      <c r="K5" s="106" t="s">
        <v>114</v>
      </c>
      <c r="L5" s="107"/>
      <c r="M5" s="107"/>
      <c r="N5" s="108" t="s">
        <v>182</v>
      </c>
      <c r="O5" s="109"/>
      <c r="P5" s="109"/>
      <c r="Q5" s="109"/>
      <c r="R5" s="109"/>
    </row>
    <row r="6" spans="1:18" ht="15.75">
      <c r="A6" s="6" t="s">
        <v>37</v>
      </c>
      <c r="B6" s="6">
        <f>1480+4720-182</f>
        <v>6018</v>
      </c>
      <c r="C6" s="7">
        <f>0.173+0.553-0.021</f>
        <v>0.705</v>
      </c>
      <c r="D6" s="127">
        <f>+E6*B40</f>
        <v>1457.6282582014992</v>
      </c>
      <c r="E6" s="5">
        <f>SUM(E7:E20)</f>
        <v>0.17060255831010057</v>
      </c>
      <c r="F6" s="5"/>
      <c r="G6" s="278" t="s">
        <v>415</v>
      </c>
      <c r="H6" s="59" t="s">
        <v>471</v>
      </c>
      <c r="I6" s="101" t="s">
        <v>112</v>
      </c>
      <c r="J6" s="101" t="s">
        <v>111</v>
      </c>
      <c r="K6" s="102" t="s">
        <v>115</v>
      </c>
      <c r="L6" s="102" t="s">
        <v>116</v>
      </c>
      <c r="M6" s="102" t="s">
        <v>117</v>
      </c>
      <c r="N6" s="103" t="s">
        <v>183</v>
      </c>
      <c r="O6" s="103" t="s">
        <v>93</v>
      </c>
      <c r="P6" s="103" t="s">
        <v>94</v>
      </c>
      <c r="Q6" s="103" t="s">
        <v>90</v>
      </c>
      <c r="R6" s="103" t="s">
        <v>91</v>
      </c>
    </row>
    <row r="7" spans="1:18" ht="12.75">
      <c r="A7" t="s">
        <v>50</v>
      </c>
      <c r="C7" s="2"/>
      <c r="E7" s="1">
        <f>+RPS!D10*'Boston GHG Inventory'!R5</f>
        <v>0.028820846663608485</v>
      </c>
      <c r="F7" s="1">
        <f>E7/E40</f>
        <v>0.11367390163216481</v>
      </c>
      <c r="G7" s="1">
        <f>E7*'Boston GHG Inventory'!T5</f>
        <v>0.004944816107958629</v>
      </c>
      <c r="H7" s="1">
        <f>E7*'Boston GHG Inventory'!U5</f>
        <v>0.023876030555649855</v>
      </c>
      <c r="I7" s="116" t="s">
        <v>113</v>
      </c>
      <c r="J7" s="116"/>
      <c r="K7" s="117"/>
      <c r="L7" s="117" t="s">
        <v>113</v>
      </c>
      <c r="M7" s="117"/>
      <c r="N7" s="118" t="s">
        <v>113</v>
      </c>
      <c r="O7" s="118"/>
      <c r="P7" s="118"/>
      <c r="Q7" s="118"/>
      <c r="R7" s="118"/>
    </row>
    <row r="8" spans="1:18" ht="12.75">
      <c r="A8" t="s">
        <v>470</v>
      </c>
      <c r="C8" s="2"/>
      <c r="E8" s="1">
        <f>+'Utility Energy Efficiency'!D10*'Boston GHG Inventory'!R5</f>
        <v>0.06110019492685</v>
      </c>
      <c r="F8" s="1">
        <f>E8/E40</f>
        <v>0.24098867146018946</v>
      </c>
      <c r="G8" s="1">
        <f>E8*'Boston GHG Inventory'!T5</f>
        <v>0.010483010148872297</v>
      </c>
      <c r="H8" s="1">
        <f>E8*'Boston GHG Inventory'!U5</f>
        <v>0.050617184777977706</v>
      </c>
      <c r="I8" s="116" t="s">
        <v>113</v>
      </c>
      <c r="J8" s="116"/>
      <c r="K8" s="117"/>
      <c r="L8" s="117" t="s">
        <v>113</v>
      </c>
      <c r="M8" s="117"/>
      <c r="N8" s="118" t="s">
        <v>113</v>
      </c>
      <c r="O8" s="118"/>
      <c r="P8" s="118"/>
      <c r="Q8" s="118"/>
      <c r="R8" s="118"/>
    </row>
    <row r="9" spans="1:18" ht="12.75">
      <c r="A9" t="s">
        <v>134</v>
      </c>
      <c r="C9" s="2"/>
      <c r="E9" s="1">
        <f>+'Utility Energy Efficiency'!D26*'Boston GHG Inventory'!R6</f>
        <v>0.01773160972407243</v>
      </c>
      <c r="F9" s="1">
        <f>E9/E40</f>
        <v>0.06993622647801086</v>
      </c>
      <c r="G9" s="1">
        <f>E9*'Boston GHG Inventory'!T6</f>
        <v>0.004217825859399378</v>
      </c>
      <c r="H9" s="1">
        <f>E9*'Boston GHG Inventory'!U6</f>
        <v>0.013513748176942087</v>
      </c>
      <c r="I9" s="116" t="s">
        <v>113</v>
      </c>
      <c r="J9" s="116"/>
      <c r="K9" s="117"/>
      <c r="L9" s="117" t="s">
        <v>113</v>
      </c>
      <c r="M9" s="117"/>
      <c r="N9" s="118"/>
      <c r="O9" s="118" t="s">
        <v>113</v>
      </c>
      <c r="P9" s="118"/>
      <c r="Q9" s="118"/>
      <c r="R9" s="118"/>
    </row>
    <row r="10" spans="1:18" ht="12.75">
      <c r="A10" t="s">
        <v>51</v>
      </c>
      <c r="C10" s="2"/>
      <c r="E10" s="88">
        <f>('Building Code &amp; Stretch Code'!J27*'Boston GHG Inventory'!R5)+('Building Code &amp; Stretch Code'!J28*'Boston GHG Inventory'!R6)</f>
        <v>0.0046918308147718005</v>
      </c>
      <c r="F10" s="88">
        <f>E10/E40</f>
        <v>0.018505310435122144</v>
      </c>
      <c r="G10" s="88">
        <f>E10*0.2</f>
        <v>0.0009383661629543601</v>
      </c>
      <c r="H10" s="153">
        <f>E10*0.8</f>
        <v>0.0037534646518174405</v>
      </c>
      <c r="I10" s="116" t="s">
        <v>113</v>
      </c>
      <c r="J10" s="116"/>
      <c r="K10" s="117"/>
      <c r="L10" s="117" t="s">
        <v>113</v>
      </c>
      <c r="M10" s="117"/>
      <c r="N10" s="118" t="s">
        <v>113</v>
      </c>
      <c r="O10" s="118" t="s">
        <v>113</v>
      </c>
      <c r="P10" s="118"/>
      <c r="Q10" s="118"/>
      <c r="R10" s="118"/>
    </row>
    <row r="11" spans="1:18" ht="12.75">
      <c r="A11" t="s">
        <v>53</v>
      </c>
      <c r="C11" s="2"/>
      <c r="E11" s="1">
        <f>+'Appliance Standards'!$J$17</f>
        <v>0.0128</v>
      </c>
      <c r="F11" s="1">
        <f>E11/E40</f>
        <v>0.05048519073275325</v>
      </c>
      <c r="G11" s="1">
        <f>E11*0.5</f>
        <v>0.0064</v>
      </c>
      <c r="H11" s="153">
        <f>E11*0.5</f>
        <v>0.0064</v>
      </c>
      <c r="I11" s="116" t="s">
        <v>113</v>
      </c>
      <c r="J11" s="116"/>
      <c r="K11" s="117"/>
      <c r="L11" s="117"/>
      <c r="M11" s="117" t="s">
        <v>113</v>
      </c>
      <c r="N11" s="118" t="s">
        <v>113</v>
      </c>
      <c r="O11" s="118" t="s">
        <v>113</v>
      </c>
      <c r="P11" s="118"/>
      <c r="Q11" s="118"/>
      <c r="R11" s="118"/>
    </row>
    <row r="12" spans="1:18" ht="12.75">
      <c r="A12" s="82" t="s">
        <v>417</v>
      </c>
      <c r="C12" s="2"/>
      <c r="E12" s="1"/>
      <c r="F12" s="1"/>
      <c r="G12" s="1"/>
      <c r="H12" s="1"/>
      <c r="I12" s="116" t="s">
        <v>113</v>
      </c>
      <c r="J12" s="116"/>
      <c r="K12" s="117"/>
      <c r="L12" s="117" t="s">
        <v>113</v>
      </c>
      <c r="M12" s="117"/>
      <c r="N12" s="118" t="s">
        <v>113</v>
      </c>
      <c r="O12" s="118"/>
      <c r="P12" s="118"/>
      <c r="Q12" s="118"/>
      <c r="R12" s="118"/>
    </row>
    <row r="13" spans="1:18" ht="12.75">
      <c r="A13" s="82"/>
      <c r="C13" s="2"/>
      <c r="E13" s="1"/>
      <c r="F13" s="1"/>
      <c r="G13" s="1"/>
      <c r="H13" s="1"/>
      <c r="I13" s="116"/>
      <c r="J13" s="116"/>
      <c r="K13" s="117"/>
      <c r="L13" s="117"/>
      <c r="M13" s="117"/>
      <c r="N13" s="118"/>
      <c r="O13" s="118"/>
      <c r="P13" s="118"/>
      <c r="Q13" s="118"/>
      <c r="R13" s="118"/>
    </row>
    <row r="14" spans="1:18" ht="12.75">
      <c r="A14" t="s">
        <v>52</v>
      </c>
      <c r="C14" s="2"/>
      <c r="E14" s="88">
        <f>('Boston GHG Inventory'!R5*'Building Code &amp; Stretch Code'!J29)+('Boston GHG Inventory'!R6*'Building Code &amp; Stretch Code'!J30)</f>
        <v>0.0023459154073859003</v>
      </c>
      <c r="F14" s="88">
        <f>E14/E40</f>
        <v>0.009252655217561072</v>
      </c>
      <c r="G14" s="88">
        <f>E14*0.2</f>
        <v>0.00046918308147718006</v>
      </c>
      <c r="H14" s="153">
        <f>E14*0.8</f>
        <v>0.0018767323259087202</v>
      </c>
      <c r="I14" s="116"/>
      <c r="J14" s="116" t="s">
        <v>113</v>
      </c>
      <c r="K14" s="117" t="s">
        <v>113</v>
      </c>
      <c r="L14" s="117"/>
      <c r="M14" s="117"/>
      <c r="N14" s="118" t="s">
        <v>113</v>
      </c>
      <c r="O14" s="118" t="s">
        <v>113</v>
      </c>
      <c r="P14" s="118"/>
      <c r="Q14" s="118"/>
      <c r="R14" s="118"/>
    </row>
    <row r="15" spans="1:18" ht="12.75">
      <c r="A15" t="s">
        <v>54</v>
      </c>
      <c r="C15" s="2"/>
      <c r="E15" s="88">
        <f>+'Labeling + Retrofit Ord.'!B56</f>
        <v>0.0054558</v>
      </c>
      <c r="F15" s="88">
        <f>E15/E40</f>
        <v>0.021518523718730875</v>
      </c>
      <c r="G15" s="88">
        <f>'Labeling + Retrofit Ord.'!D64</f>
        <v>0.0008358000000000001</v>
      </c>
      <c r="H15" s="1">
        <f>'Labeling + Retrofit Ord.'!D65</f>
        <v>0.00462</v>
      </c>
      <c r="I15" s="116"/>
      <c r="J15" s="116" t="s">
        <v>113</v>
      </c>
      <c r="K15" s="117" t="s">
        <v>113</v>
      </c>
      <c r="L15" s="117"/>
      <c r="M15" s="117"/>
      <c r="N15" s="118" t="s">
        <v>113</v>
      </c>
      <c r="O15" s="118" t="s">
        <v>113</v>
      </c>
      <c r="P15" s="118"/>
      <c r="Q15" s="118"/>
      <c r="R15" s="118"/>
    </row>
    <row r="16" spans="1:18" ht="12.75">
      <c r="A16" t="s">
        <v>55</v>
      </c>
      <c r="C16" s="2"/>
      <c r="E16" s="88">
        <f>+'Labeling + Retrofit Ord.'!L56</f>
        <v>0.016405499999999996</v>
      </c>
      <c r="F16" s="88">
        <f>E16/E40</f>
        <v>0.06470584348173307</v>
      </c>
      <c r="G16" s="88">
        <f>'Labeling + Retrofit Ord.'!N64</f>
        <v>0.003948</v>
      </c>
      <c r="H16" s="1">
        <f>'Labeling + Retrofit Ord.'!N65</f>
        <v>0.012457499999999996</v>
      </c>
      <c r="I16" s="116"/>
      <c r="J16" s="116" t="s">
        <v>113</v>
      </c>
      <c r="K16" s="117" t="s">
        <v>113</v>
      </c>
      <c r="L16" s="117"/>
      <c r="M16" s="117"/>
      <c r="N16" s="118" t="s">
        <v>113</v>
      </c>
      <c r="O16" s="118" t="s">
        <v>113</v>
      </c>
      <c r="P16" s="118"/>
      <c r="Q16" s="118"/>
      <c r="R16" s="118"/>
    </row>
    <row r="17" spans="1:18" ht="12.75">
      <c r="A17" t="s">
        <v>56</v>
      </c>
      <c r="C17" s="2"/>
      <c r="E17" s="88">
        <f>+'Utility Energy Efficiency'!D49*'Boston GHG Inventory'!R7</f>
        <v>0.007605559354779728</v>
      </c>
      <c r="F17" s="88">
        <f>E17/E40</f>
        <v>0.029997508957447683</v>
      </c>
      <c r="G17" s="88">
        <f>E17*'Boston GHG Inventory'!T7</f>
        <v>0.003626184719695467</v>
      </c>
      <c r="H17" s="1">
        <f>E17*'Boston GHG Inventory'!U7</f>
        <v>0.00397937463508426</v>
      </c>
      <c r="I17" s="116"/>
      <c r="J17" s="116" t="s">
        <v>113</v>
      </c>
      <c r="K17" s="117" t="s">
        <v>113</v>
      </c>
      <c r="L17" s="117"/>
      <c r="M17" s="117"/>
      <c r="N17" s="118"/>
      <c r="O17" s="118"/>
      <c r="P17" s="118" t="s">
        <v>113</v>
      </c>
      <c r="Q17" s="118"/>
      <c r="R17" s="118"/>
    </row>
    <row r="18" spans="1:18" ht="12.75">
      <c r="A18" s="82" t="s">
        <v>58</v>
      </c>
      <c r="B18" s="82"/>
      <c r="C18" s="95"/>
      <c r="D18" s="82"/>
      <c r="E18" s="88">
        <f>'Cool Roofs'!B6</f>
        <v>0.0009484550785307281</v>
      </c>
      <c r="F18" s="88">
        <f>E18/E40</f>
        <v>0.0037408543391462715</v>
      </c>
      <c r="G18" s="88"/>
      <c r="H18" s="88">
        <f>'Cool Roofs'!B4</f>
        <v>0.0008609086581814756</v>
      </c>
      <c r="I18" s="116"/>
      <c r="J18" s="116" t="s">
        <v>113</v>
      </c>
      <c r="K18" s="117" t="s">
        <v>113</v>
      </c>
      <c r="L18" s="117"/>
      <c r="M18" s="117"/>
      <c r="N18" s="118" t="s">
        <v>113</v>
      </c>
      <c r="O18" s="118" t="s">
        <v>113</v>
      </c>
      <c r="P18" s="118"/>
      <c r="Q18" s="118"/>
      <c r="R18" s="118"/>
    </row>
    <row r="19" spans="1:18" ht="12.75">
      <c r="A19" t="s">
        <v>60</v>
      </c>
      <c r="C19" s="2"/>
      <c r="E19" s="88">
        <f>0.05*'Boston GHG Inventory'!R7</f>
        <v>0.0048289265744633205</v>
      </c>
      <c r="F19" s="88">
        <f>E19/E40</f>
        <v>0.01904603743330012</v>
      </c>
      <c r="G19" s="88">
        <f>E19*0.9</f>
        <v>0.004346033917016988</v>
      </c>
      <c r="H19" s="153">
        <f>E19*0.1</f>
        <v>0.0004828926574463321</v>
      </c>
      <c r="I19" s="116"/>
      <c r="J19" s="116" t="s">
        <v>113</v>
      </c>
      <c r="K19" s="117"/>
      <c r="L19" s="117" t="s">
        <v>113</v>
      </c>
      <c r="M19" s="117"/>
      <c r="N19" s="118"/>
      <c r="O19" s="118"/>
      <c r="P19" s="118" t="s">
        <v>113</v>
      </c>
      <c r="Q19" s="118"/>
      <c r="R19" s="118"/>
    </row>
    <row r="20" spans="1:18" ht="12.75">
      <c r="A20" t="s">
        <v>506</v>
      </c>
      <c r="C20" s="2"/>
      <c r="E20" s="88">
        <f>+'Behavior Changes'!B36</f>
        <v>0.007867919765638207</v>
      </c>
      <c r="F20" s="88">
        <f>E20/E40</f>
        <v>0.031032299221737822</v>
      </c>
      <c r="G20" s="88">
        <f>E20</f>
        <v>0.007867919765638207</v>
      </c>
      <c r="H20" s="153"/>
      <c r="I20" s="116"/>
      <c r="J20" s="116" t="s">
        <v>113</v>
      </c>
      <c r="K20" s="117" t="s">
        <v>113</v>
      </c>
      <c r="L20" s="117"/>
      <c r="M20" s="117"/>
      <c r="N20" s="118" t="s">
        <v>113</v>
      </c>
      <c r="O20" s="118" t="s">
        <v>113</v>
      </c>
      <c r="P20" s="118"/>
      <c r="Q20" s="118"/>
      <c r="R20" s="118"/>
    </row>
    <row r="21" spans="3:18" ht="12.75">
      <c r="C21" s="2"/>
      <c r="E21" s="1"/>
      <c r="F21" s="1"/>
      <c r="G21" s="1"/>
      <c r="H21" s="1"/>
      <c r="I21" s="116"/>
      <c r="J21" s="116"/>
      <c r="K21" s="117"/>
      <c r="L21" s="117"/>
      <c r="M21" s="117"/>
      <c r="N21" s="118"/>
      <c r="O21" s="118"/>
      <c r="P21" s="118"/>
      <c r="Q21" s="118"/>
      <c r="R21" s="118"/>
    </row>
    <row r="22" spans="1:18" ht="15.75">
      <c r="A22" s="6" t="s">
        <v>473</v>
      </c>
      <c r="B22" s="6">
        <v>2310</v>
      </c>
      <c r="C22" s="7">
        <v>0.271</v>
      </c>
      <c r="D22" s="127">
        <f>+E22*B40</f>
        <v>650.6490397149232</v>
      </c>
      <c r="E22" s="5">
        <f>SUM(E23:E34)</f>
        <v>0.07615274341232715</v>
      </c>
      <c r="F22" s="5"/>
      <c r="G22" s="5"/>
      <c r="H22" s="1"/>
      <c r="I22" s="116"/>
      <c r="J22" s="116"/>
      <c r="K22" s="117"/>
      <c r="L22" s="117"/>
      <c r="M22" s="117"/>
      <c r="N22" s="118"/>
      <c r="O22" s="118"/>
      <c r="P22" s="118"/>
      <c r="Q22" s="118"/>
      <c r="R22" s="118"/>
    </row>
    <row r="23" spans="1:18" ht="12.75">
      <c r="A23" t="s">
        <v>44</v>
      </c>
      <c r="C23" s="2"/>
      <c r="E23" s="88">
        <f>'Vehicle Efficiency'!B8*'Boston GHG Inventory'!R9</f>
        <v>0.034420531476057295</v>
      </c>
      <c r="F23" s="88">
        <f>E23/E40</f>
        <v>0.13575992942902262</v>
      </c>
      <c r="G23" s="88">
        <f>E23</f>
        <v>0.034420531476057295</v>
      </c>
      <c r="H23" s="1"/>
      <c r="I23" s="116" t="s">
        <v>113</v>
      </c>
      <c r="J23" s="116"/>
      <c r="K23" s="117"/>
      <c r="L23" s="117" t="s">
        <v>113</v>
      </c>
      <c r="M23" s="117" t="s">
        <v>113</v>
      </c>
      <c r="N23" s="118"/>
      <c r="O23" s="118"/>
      <c r="P23" s="118"/>
      <c r="Q23" s="118" t="s">
        <v>113</v>
      </c>
      <c r="R23" s="118"/>
    </row>
    <row r="24" spans="3:18" ht="12.75">
      <c r="C24" s="2"/>
      <c r="E24" s="88"/>
      <c r="F24" s="88"/>
      <c r="G24" s="88"/>
      <c r="H24" s="1"/>
      <c r="I24" s="116"/>
      <c r="J24" s="116"/>
      <c r="K24" s="117"/>
      <c r="L24" s="117"/>
      <c r="M24" s="117"/>
      <c r="N24" s="118"/>
      <c r="O24" s="118"/>
      <c r="P24" s="118"/>
      <c r="Q24" s="118"/>
      <c r="R24" s="118"/>
    </row>
    <row r="25" spans="1:18" ht="12.75">
      <c r="A25" t="s">
        <v>364</v>
      </c>
      <c r="C25" s="2"/>
      <c r="E25" s="88">
        <f>'Low Carbon Fuel Standard'!A3*'Boston GHG Inventory'!T15</f>
        <v>0.00952897756852305</v>
      </c>
      <c r="F25" s="88">
        <f>E25/E40</f>
        <v>0.037583769533985435</v>
      </c>
      <c r="G25" s="88">
        <f>E25*0.95</f>
        <v>0.009052528690096899</v>
      </c>
      <c r="H25" s="153">
        <f>E25*0.05</f>
        <v>0.00047644887842615254</v>
      </c>
      <c r="I25" s="116"/>
      <c r="J25" s="116" t="s">
        <v>113</v>
      </c>
      <c r="K25" s="117"/>
      <c r="L25" s="117" t="s">
        <v>113</v>
      </c>
      <c r="M25" s="117" t="s">
        <v>113</v>
      </c>
      <c r="N25" s="118"/>
      <c r="O25" s="118"/>
      <c r="P25" s="118"/>
      <c r="Q25" s="118" t="s">
        <v>113</v>
      </c>
      <c r="R25" s="118"/>
    </row>
    <row r="26" spans="1:18" ht="12.75">
      <c r="A26" t="s">
        <v>365</v>
      </c>
      <c r="C26" s="2"/>
      <c r="E26" s="88">
        <f>'Low Carbon Fuel Standard'!A3*'Boston GHG Inventory'!T16</f>
        <v>0.002031778997469068</v>
      </c>
      <c r="F26" s="88">
        <f>E26/E40</f>
        <v>0.008013652360470944</v>
      </c>
      <c r="G26" s="88">
        <f aca="true" t="shared" si="0" ref="G26:G31">E26*0.95</f>
        <v>0.0019301900475956145</v>
      </c>
      <c r="H26" s="153">
        <f aca="true" t="shared" si="1" ref="H26:H31">E26*0.05</f>
        <v>0.0001015889498734534</v>
      </c>
      <c r="I26" s="116"/>
      <c r="J26" s="116"/>
      <c r="K26" s="117"/>
      <c r="L26" s="117"/>
      <c r="M26" s="117"/>
      <c r="N26" s="118"/>
      <c r="O26" s="118"/>
      <c r="P26" s="118"/>
      <c r="Q26" s="118"/>
      <c r="R26" s="118" t="s">
        <v>113</v>
      </c>
    </row>
    <row r="27" spans="3:18" ht="12.75">
      <c r="C27" s="2"/>
      <c r="E27" s="88"/>
      <c r="F27" s="88"/>
      <c r="G27" s="88"/>
      <c r="H27" s="153"/>
      <c r="I27" s="116"/>
      <c r="J27" s="116"/>
      <c r="K27" s="117"/>
      <c r="L27" s="117"/>
      <c r="M27" s="117"/>
      <c r="N27" s="118"/>
      <c r="O27" s="118"/>
      <c r="P27" s="118"/>
      <c r="Q27" s="118"/>
      <c r="R27" s="118"/>
    </row>
    <row r="28" spans="1:18" ht="12.75">
      <c r="A28" t="s">
        <v>46</v>
      </c>
      <c r="C28" s="2"/>
      <c r="E28" s="88"/>
      <c r="F28" s="88"/>
      <c r="G28" s="88"/>
      <c r="H28" s="153"/>
      <c r="I28" s="119"/>
      <c r="J28" s="116"/>
      <c r="K28" s="117"/>
      <c r="L28" s="117"/>
      <c r="M28" s="117"/>
      <c r="N28" s="118"/>
      <c r="O28" s="118"/>
      <c r="P28" s="118"/>
      <c r="Q28" s="118"/>
      <c r="R28" s="118"/>
    </row>
    <row r="29" spans="1:18" ht="12.75">
      <c r="A29" t="s">
        <v>47</v>
      </c>
      <c r="C29" s="2"/>
      <c r="E29" s="88">
        <f>+'VMT Reduction'!F5</f>
        <v>0.00195425048669695</v>
      </c>
      <c r="F29" s="88">
        <f>E29/E40</f>
        <v>0.007707867856286827</v>
      </c>
      <c r="G29" s="88">
        <f t="shared" si="0"/>
        <v>0.0018565379623621025</v>
      </c>
      <c r="H29" s="153">
        <f t="shared" si="1"/>
        <v>9.77125243348475E-05</v>
      </c>
      <c r="I29" s="119"/>
      <c r="J29" s="116" t="s">
        <v>113</v>
      </c>
      <c r="K29" s="117" t="s">
        <v>113</v>
      </c>
      <c r="L29" s="117"/>
      <c r="M29" s="117"/>
      <c r="N29" s="118"/>
      <c r="O29" s="118"/>
      <c r="P29" s="118"/>
      <c r="Q29" s="118" t="s">
        <v>113</v>
      </c>
      <c r="R29" s="118"/>
    </row>
    <row r="30" spans="1:18" ht="12.75">
      <c r="A30" t="s">
        <v>48</v>
      </c>
      <c r="C30" s="2"/>
      <c r="E30" s="88">
        <f>+'VMT Reduction'!F6</f>
        <v>0.004993510707332901</v>
      </c>
      <c r="F30" s="88">
        <f>E30/E40</f>
        <v>0.019695182850448995</v>
      </c>
      <c r="G30" s="88">
        <f t="shared" si="0"/>
        <v>0.0047438351719662555</v>
      </c>
      <c r="H30" s="153">
        <f t="shared" si="1"/>
        <v>0.00024967553536664504</v>
      </c>
      <c r="I30" s="116"/>
      <c r="J30" s="116" t="s">
        <v>113</v>
      </c>
      <c r="K30" s="117" t="s">
        <v>113</v>
      </c>
      <c r="L30" s="117"/>
      <c r="M30" s="117"/>
      <c r="N30" s="118"/>
      <c r="O30" s="118"/>
      <c r="P30" s="118"/>
      <c r="Q30" s="118" t="s">
        <v>113</v>
      </c>
      <c r="R30" s="118"/>
    </row>
    <row r="31" spans="1:18" ht="12.75">
      <c r="A31" t="s">
        <v>49</v>
      </c>
      <c r="C31" s="2"/>
      <c r="E31" s="88">
        <f>+'VMT Reduction'!F7</f>
        <v>0.012052238805970153</v>
      </c>
      <c r="F31" s="88">
        <f>E31/E40</f>
        <v>0.047535904287194806</v>
      </c>
      <c r="G31" s="88">
        <f t="shared" si="0"/>
        <v>0.011449626865671645</v>
      </c>
      <c r="H31" s="153">
        <f t="shared" si="1"/>
        <v>0.0006026119402985078</v>
      </c>
      <c r="I31" s="116"/>
      <c r="J31" s="116" t="s">
        <v>113</v>
      </c>
      <c r="K31" s="117" t="s">
        <v>113</v>
      </c>
      <c r="L31" s="117"/>
      <c r="M31" s="117"/>
      <c r="N31" s="118"/>
      <c r="O31" s="118"/>
      <c r="P31" s="118"/>
      <c r="Q31" s="118" t="s">
        <v>113</v>
      </c>
      <c r="R31" s="118"/>
    </row>
    <row r="32" spans="1:18" ht="12.75">
      <c r="A32" s="82" t="s">
        <v>287</v>
      </c>
      <c r="B32" s="82"/>
      <c r="C32" s="95"/>
      <c r="D32" s="82"/>
      <c r="E32" s="241">
        <f>+'Anti-idling'!F10/'Boston GHG Inventory'!K41</f>
        <v>0.0004125325279631622</v>
      </c>
      <c r="F32" s="241">
        <f>E32/E40</f>
        <v>0.001627092449819149</v>
      </c>
      <c r="G32" s="88">
        <f>E32*0.5</f>
        <v>0.0002062662639815811</v>
      </c>
      <c r="H32" s="153">
        <f>E32*0.5</f>
        <v>0.0002062662639815811</v>
      </c>
      <c r="I32" s="116"/>
      <c r="J32" s="116" t="s">
        <v>113</v>
      </c>
      <c r="K32" s="117" t="s">
        <v>113</v>
      </c>
      <c r="L32" s="117"/>
      <c r="M32" s="117"/>
      <c r="N32" s="118"/>
      <c r="O32" s="118"/>
      <c r="P32" s="118"/>
      <c r="Q32" s="118" t="s">
        <v>113</v>
      </c>
      <c r="R32" s="118" t="s">
        <v>113</v>
      </c>
    </row>
    <row r="33" spans="1:18" ht="12.75">
      <c r="A33" s="82" t="s">
        <v>507</v>
      </c>
      <c r="B33" s="82"/>
      <c r="C33" s="95"/>
      <c r="D33" s="82"/>
      <c r="E33" s="302">
        <f>+'Behavior Changes'!B37</f>
        <v>0.010758922842314573</v>
      </c>
      <c r="F33" s="302">
        <f>E33/E40</f>
        <v>0.042434864982283355</v>
      </c>
      <c r="G33" s="88">
        <f>E33</f>
        <v>0.010758922842314573</v>
      </c>
      <c r="H33" s="153"/>
      <c r="I33" s="116"/>
      <c r="J33" s="116" t="s">
        <v>113</v>
      </c>
      <c r="K33" s="117" t="s">
        <v>113</v>
      </c>
      <c r="L33" s="117"/>
      <c r="M33" s="117"/>
      <c r="N33" s="118"/>
      <c r="O33" s="118"/>
      <c r="P33" s="118"/>
      <c r="Q33" s="118" t="s">
        <v>113</v>
      </c>
      <c r="R33" s="118"/>
    </row>
    <row r="34" spans="3:18" ht="12.75">
      <c r="C34" s="2"/>
      <c r="E34" s="1"/>
      <c r="F34" s="1"/>
      <c r="G34" s="1"/>
      <c r="H34" s="1"/>
      <c r="I34" s="116"/>
      <c r="J34" s="116"/>
      <c r="K34" s="117"/>
      <c r="L34" s="117"/>
      <c r="M34" s="117"/>
      <c r="N34" s="118"/>
      <c r="O34" s="118"/>
      <c r="P34" s="118"/>
      <c r="Q34" s="118"/>
      <c r="R34" s="118"/>
    </row>
    <row r="35" spans="1:18" ht="15.75">
      <c r="A35" s="6" t="s">
        <v>39</v>
      </c>
      <c r="B35" s="6">
        <f>34+182</f>
        <v>216</v>
      </c>
      <c r="C35" s="7">
        <v>0.025</v>
      </c>
      <c r="D35" s="128">
        <f>E35*B40</f>
        <v>57.96587978932176</v>
      </c>
      <c r="E35" s="5">
        <f>SUM(E36:E38)</f>
        <v>0.0067843960427576965</v>
      </c>
      <c r="F35" s="5"/>
      <c r="G35" s="5"/>
      <c r="H35" s="1"/>
      <c r="I35" s="116"/>
      <c r="J35" s="116"/>
      <c r="K35" s="117"/>
      <c r="L35" s="117"/>
      <c r="M35" s="117"/>
      <c r="N35" s="118"/>
      <c r="O35" s="118"/>
      <c r="P35" s="118"/>
      <c r="Q35" s="118"/>
      <c r="R35" s="118"/>
    </row>
    <row r="36" spans="1:18" ht="12.75">
      <c r="A36" t="s">
        <v>57</v>
      </c>
      <c r="C36" s="2"/>
      <c r="E36" s="88">
        <f>'Solid Waste-Recycling'!F18*'Boston GHG Inventory'!R21</f>
        <v>0.0018141649470703443</v>
      </c>
      <c r="F36" s="88">
        <f>E36/E40</f>
        <v>0.007155348701056371</v>
      </c>
      <c r="G36" s="88">
        <f>E36</f>
        <v>0.0018141649470703443</v>
      </c>
      <c r="H36" s="1"/>
      <c r="I36" s="116"/>
      <c r="J36" s="116" t="s">
        <v>113</v>
      </c>
      <c r="K36" s="117" t="s">
        <v>113</v>
      </c>
      <c r="L36" s="117"/>
      <c r="M36" s="117"/>
      <c r="N36" s="118" t="s">
        <v>113</v>
      </c>
      <c r="O36" s="118"/>
      <c r="P36" s="118"/>
      <c r="Q36" s="118"/>
      <c r="R36" s="118"/>
    </row>
    <row r="37" spans="1:18" ht="12.75">
      <c r="A37" t="s">
        <v>222</v>
      </c>
      <c r="C37" s="2"/>
      <c r="E37" s="1">
        <f>'Solid Waste-Recycling'!A59*'Boston GHG Inventory'!R22</f>
        <v>0.0049702310956873524</v>
      </c>
      <c r="F37" s="1">
        <f>E37/E40</f>
        <v>0.019603364441534155</v>
      </c>
      <c r="G37" s="1"/>
      <c r="H37" s="1">
        <f>E37</f>
        <v>0.0049702310956873524</v>
      </c>
      <c r="I37" s="98"/>
      <c r="J37" s="116" t="s">
        <v>113</v>
      </c>
      <c r="K37" s="117" t="s">
        <v>113</v>
      </c>
      <c r="L37" s="99"/>
      <c r="M37" s="99"/>
      <c r="N37" s="118" t="s">
        <v>113</v>
      </c>
      <c r="O37" s="100"/>
      <c r="P37" s="100"/>
      <c r="Q37" s="100"/>
      <c r="R37" s="100"/>
    </row>
    <row r="38" spans="3:18" ht="12.75">
      <c r="C38" s="2"/>
      <c r="E38" s="1"/>
      <c r="F38" s="1"/>
      <c r="G38" s="1"/>
      <c r="H38" s="1"/>
      <c r="I38" s="98"/>
      <c r="J38" s="116" t="s">
        <v>113</v>
      </c>
      <c r="K38" s="117" t="s">
        <v>113</v>
      </c>
      <c r="L38" s="99"/>
      <c r="M38" s="99"/>
      <c r="N38" s="118" t="s">
        <v>113</v>
      </c>
      <c r="O38" s="118" t="s">
        <v>113</v>
      </c>
      <c r="P38" s="118"/>
      <c r="Q38" s="118" t="s">
        <v>113</v>
      </c>
      <c r="R38" s="100"/>
    </row>
    <row r="39" spans="3:8" ht="12.75">
      <c r="C39" s="2"/>
      <c r="E39" s="1"/>
      <c r="F39" s="1"/>
      <c r="G39" s="1"/>
      <c r="H39" s="1"/>
    </row>
    <row r="40" spans="1:11" ht="15.75">
      <c r="A40" s="6" t="s">
        <v>40</v>
      </c>
      <c r="B40" s="6">
        <f>SUM(B6,B22,B35)</f>
        <v>8544</v>
      </c>
      <c r="C40" s="7">
        <f>SUM(C6,C22,C35)</f>
        <v>1.001</v>
      </c>
      <c r="D40" s="127">
        <f>+E40*B40</f>
        <v>2166.243177705744</v>
      </c>
      <c r="E40" s="151">
        <f>+E35+E22+E6</f>
        <v>0.2535396977651854</v>
      </c>
      <c r="F40" s="151"/>
      <c r="G40" s="504">
        <f>SUM(G7:G38)</f>
        <v>0.12430974403012883</v>
      </c>
      <c r="H40" s="1">
        <f>SUM(H7:H37)</f>
        <v>0.12914237162697645</v>
      </c>
      <c r="K40" t="s">
        <v>416</v>
      </c>
    </row>
    <row r="41" spans="3:11" ht="12.75">
      <c r="C41" s="2"/>
      <c r="E41" s="1"/>
      <c r="F41" s="1"/>
      <c r="G41" s="1"/>
      <c r="K41" s="154" t="s">
        <v>298</v>
      </c>
    </row>
    <row r="43" ht="12.75">
      <c r="A43" t="s">
        <v>418</v>
      </c>
    </row>
    <row r="44" spans="3:7" ht="12.75">
      <c r="C44" s="2"/>
      <c r="E44" s="1"/>
      <c r="F44" s="1"/>
      <c r="G44" s="1"/>
    </row>
    <row r="45" ht="12.75">
      <c r="A45" s="82" t="s">
        <v>474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109"/>
  <sheetViews>
    <sheetView zoomScalePageLayoutView="0" workbookViewId="0" topLeftCell="A1">
      <selection activeCell="E13" sqref="E13"/>
    </sheetView>
  </sheetViews>
  <sheetFormatPr defaultColWidth="9.140625" defaultRowHeight="12.75"/>
  <cols>
    <col min="1" max="1" width="37.57421875" style="0" customWidth="1"/>
    <col min="2" max="2" width="13.00390625" style="0" customWidth="1"/>
    <col min="3" max="3" width="9.57421875" style="0" customWidth="1"/>
    <col min="4" max="4" width="12.140625" style="0" customWidth="1"/>
    <col min="5" max="5" width="16.421875" style="0" customWidth="1"/>
    <col min="6" max="6" width="19.140625" style="0" customWidth="1"/>
    <col min="7" max="7" width="13.7109375" style="0" customWidth="1"/>
    <col min="8" max="8" width="12.421875" style="0" customWidth="1"/>
    <col min="10" max="10" width="12.140625" style="0" customWidth="1"/>
    <col min="11" max="11" width="42.7109375" style="0" customWidth="1"/>
    <col min="12" max="12" width="1.8515625" style="0" customWidth="1"/>
    <col min="13" max="13" width="4.421875" style="0" customWidth="1"/>
    <col min="14" max="15" width="4.8515625" style="0" customWidth="1"/>
    <col min="16" max="16" width="10.28125" style="0" customWidth="1"/>
  </cols>
  <sheetData>
    <row r="1" ht="18">
      <c r="A1" s="3" t="s">
        <v>631</v>
      </c>
    </row>
    <row r="3" spans="1:15" ht="12.75">
      <c r="A3" s="315"/>
      <c r="B3" s="316" t="s">
        <v>41</v>
      </c>
      <c r="C3" s="316"/>
      <c r="D3" s="316" t="s">
        <v>42</v>
      </c>
      <c r="E3" s="316"/>
      <c r="F3" s="316" t="s">
        <v>516</v>
      </c>
      <c r="G3" s="316" t="s">
        <v>518</v>
      </c>
      <c r="H3" s="316" t="s">
        <v>520</v>
      </c>
      <c r="I3" s="315"/>
      <c r="J3" s="316" t="s">
        <v>214</v>
      </c>
      <c r="K3" s="316" t="s">
        <v>559</v>
      </c>
      <c r="L3" s="315"/>
      <c r="M3" s="316" t="s">
        <v>561</v>
      </c>
      <c r="N3" s="315"/>
      <c r="O3" s="315"/>
    </row>
    <row r="4" spans="1:16" ht="12.75">
      <c r="A4" s="315"/>
      <c r="B4" s="316" t="s">
        <v>59</v>
      </c>
      <c r="C4" s="316" t="s">
        <v>43</v>
      </c>
      <c r="D4" s="316" t="s">
        <v>59</v>
      </c>
      <c r="E4" s="316" t="s">
        <v>43</v>
      </c>
      <c r="F4" s="316" t="s">
        <v>517</v>
      </c>
      <c r="G4" s="316" t="s">
        <v>519</v>
      </c>
      <c r="H4" s="317" t="s">
        <v>521</v>
      </c>
      <c r="I4" s="315"/>
      <c r="J4" s="316" t="s">
        <v>545</v>
      </c>
      <c r="K4" s="316" t="s">
        <v>560</v>
      </c>
      <c r="L4" s="315"/>
      <c r="M4" s="334" t="s">
        <v>562</v>
      </c>
      <c r="N4" s="334" t="s">
        <v>116</v>
      </c>
      <c r="O4" s="334" t="s">
        <v>580</v>
      </c>
      <c r="P4" s="315"/>
    </row>
    <row r="5" spans="1:5" ht="15.75">
      <c r="A5" s="6" t="s">
        <v>37</v>
      </c>
      <c r="B5" s="6">
        <f>1480+4720-182</f>
        <v>6018</v>
      </c>
      <c r="C5" s="7">
        <f>0.173+0.553-0.021</f>
        <v>0.705</v>
      </c>
      <c r="D5" s="128">
        <f>+E5*B39</f>
        <v>1457.6282582014992</v>
      </c>
      <c r="E5" s="5">
        <f>SUM(E6:E19)</f>
        <v>0.17060255831010057</v>
      </c>
    </row>
    <row r="6" spans="1:13" ht="12.75">
      <c r="A6" t="s">
        <v>50</v>
      </c>
      <c r="C6" s="2"/>
      <c r="D6" s="97">
        <f>+E6*B39</f>
        <v>246.2453138938709</v>
      </c>
      <c r="E6" s="1">
        <f>+RPS!D10*'Boston GHG Inventory'!R5</f>
        <v>0.028820846663608485</v>
      </c>
      <c r="F6" s="92">
        <f>0.5*D6*10</f>
        <v>1231.2265694693544</v>
      </c>
      <c r="G6">
        <v>-64</v>
      </c>
      <c r="H6" s="309">
        <f>+G6*F6/1000</f>
        <v>-78.79850044603869</v>
      </c>
      <c r="J6">
        <v>10</v>
      </c>
      <c r="K6" s="303" t="s">
        <v>522</v>
      </c>
      <c r="M6" s="303" t="s">
        <v>563</v>
      </c>
    </row>
    <row r="7" spans="1:14" ht="12.75">
      <c r="A7" t="s">
        <v>470</v>
      </c>
      <c r="C7" s="2"/>
      <c r="D7" s="97">
        <f>+E7*B39</f>
        <v>522.0400654550065</v>
      </c>
      <c r="E7" s="1">
        <f>+'Utility Energy Efficiency'!D10*'Boston GHG Inventory'!R5</f>
        <v>0.06110019492685</v>
      </c>
      <c r="F7" s="92">
        <f aca="true" t="shared" si="0" ref="F7:F32">0.5*D7*10</f>
        <v>2610.2003272750326</v>
      </c>
      <c r="G7" s="97">
        <f>G46</f>
        <v>378.7755102040816</v>
      </c>
      <c r="H7" s="328">
        <f aca="true" t="shared" si="1" ref="H7:H36">+G7*F7/1000</f>
        <v>988.6799606984613</v>
      </c>
      <c r="I7" s="82"/>
      <c r="J7" s="82">
        <v>10</v>
      </c>
      <c r="K7" s="324" t="s">
        <v>549</v>
      </c>
      <c r="L7" s="82"/>
      <c r="M7" s="82"/>
      <c r="N7" s="303" t="s">
        <v>563</v>
      </c>
    </row>
    <row r="8" spans="1:14" ht="12.75">
      <c r="A8" t="s">
        <v>134</v>
      </c>
      <c r="C8" s="2"/>
      <c r="D8" s="97">
        <f>+E8*B39</f>
        <v>151.49887348247483</v>
      </c>
      <c r="E8" s="1">
        <f>+'Utility Energy Efficiency'!D26*'Boston GHG Inventory'!R6</f>
        <v>0.01773160972407243</v>
      </c>
      <c r="F8" s="92">
        <f t="shared" si="0"/>
        <v>757.4943674123742</v>
      </c>
      <c r="G8" s="97">
        <f>G47</f>
        <v>132.26415094339623</v>
      </c>
      <c r="H8" s="328">
        <f t="shared" si="1"/>
        <v>100.18934935020272</v>
      </c>
      <c r="I8" s="82"/>
      <c r="J8" s="82">
        <v>10</v>
      </c>
      <c r="K8" s="324" t="s">
        <v>551</v>
      </c>
      <c r="L8" s="82"/>
      <c r="M8" s="82"/>
      <c r="N8" s="303" t="s">
        <v>563</v>
      </c>
    </row>
    <row r="9" spans="1:13" ht="12.75">
      <c r="A9" t="s">
        <v>51</v>
      </c>
      <c r="C9" s="2"/>
      <c r="D9" s="97">
        <f>+E9*B39</f>
        <v>40.087002481410266</v>
      </c>
      <c r="E9" s="88">
        <f>'Master Mitigation'!E10</f>
        <v>0.0046918308147718005</v>
      </c>
      <c r="F9" s="92">
        <f t="shared" si="0"/>
        <v>200.43501240705132</v>
      </c>
      <c r="G9" s="97">
        <f>((G46*F60)+(G47*F61))*1.5</f>
        <v>429.60822381517175</v>
      </c>
      <c r="H9" s="328">
        <f t="shared" si="1"/>
        <v>86.10852967056523</v>
      </c>
      <c r="I9" s="82"/>
      <c r="J9" s="82">
        <v>10</v>
      </c>
      <c r="K9" s="324" t="s">
        <v>603</v>
      </c>
      <c r="L9" s="82"/>
      <c r="M9" s="303" t="s">
        <v>563</v>
      </c>
    </row>
    <row r="10" spans="1:13" s="82" customFormat="1" ht="12.75">
      <c r="A10" s="82" t="s">
        <v>53</v>
      </c>
      <c r="C10" s="95"/>
      <c r="D10" s="97">
        <f>+E10*B39</f>
        <v>109.3632</v>
      </c>
      <c r="E10" s="88">
        <f>+'Appliance Standards'!$J$17</f>
        <v>0.0128</v>
      </c>
      <c r="F10" s="97">
        <f t="shared" si="0"/>
        <v>546.816</v>
      </c>
      <c r="G10" s="97">
        <f>((G46*F60)+(G47*F61))*1.5</f>
        <v>429.60822381517175</v>
      </c>
      <c r="H10" s="328">
        <f t="shared" si="1"/>
        <v>234.91665051371697</v>
      </c>
      <c r="J10" s="82">
        <v>10</v>
      </c>
      <c r="K10" s="324" t="s">
        <v>603</v>
      </c>
      <c r="M10" s="324" t="s">
        <v>563</v>
      </c>
    </row>
    <row r="11" spans="1:12" ht="12.75">
      <c r="A11" s="82" t="s">
        <v>417</v>
      </c>
      <c r="C11" s="2"/>
      <c r="D11" s="97"/>
      <c r="E11" s="1"/>
      <c r="F11" s="92"/>
      <c r="G11" s="82"/>
      <c r="H11" s="328"/>
      <c r="I11" s="82"/>
      <c r="J11" s="82"/>
      <c r="K11" s="82"/>
      <c r="L11" s="82"/>
    </row>
    <row r="12" spans="1:12" ht="12.75">
      <c r="A12" s="82"/>
      <c r="C12" s="2"/>
      <c r="D12" s="97"/>
      <c r="E12" s="1"/>
      <c r="F12" s="92"/>
      <c r="G12" s="82"/>
      <c r="H12" s="328"/>
      <c r="I12" s="82"/>
      <c r="J12" s="82"/>
      <c r="K12" s="82"/>
      <c r="L12" s="82"/>
    </row>
    <row r="13" spans="1:13" ht="12.75">
      <c r="A13" t="s">
        <v>52</v>
      </c>
      <c r="C13" s="2"/>
      <c r="D13" s="97">
        <f>+E13*B39</f>
        <v>20.043501240705133</v>
      </c>
      <c r="E13" s="88">
        <f>'Master Mitigation'!E14</f>
        <v>0.0023459154073859003</v>
      </c>
      <c r="F13" s="92">
        <f t="shared" si="0"/>
        <v>100.21750620352566</v>
      </c>
      <c r="G13" s="97">
        <f>G10*0.75</f>
        <v>322.20616786137884</v>
      </c>
      <c r="H13" s="328">
        <f t="shared" si="1"/>
        <v>32.29069862646196</v>
      </c>
      <c r="I13" s="82"/>
      <c r="J13" s="82">
        <v>10</v>
      </c>
      <c r="K13" s="324" t="s">
        <v>612</v>
      </c>
      <c r="L13" s="82"/>
      <c r="M13" s="303" t="s">
        <v>563</v>
      </c>
    </row>
    <row r="14" spans="1:14" ht="12.75">
      <c r="A14" t="s">
        <v>54</v>
      </c>
      <c r="C14" s="2"/>
      <c r="D14" s="97">
        <f>+E14*B39</f>
        <v>46.6143552</v>
      </c>
      <c r="E14" s="88">
        <f>+'Labeling + Retrofit Ord.'!B56</f>
        <v>0.0054558</v>
      </c>
      <c r="F14" s="92">
        <f>0.5*D14*7.5</f>
        <v>174.803832</v>
      </c>
      <c r="G14" s="97">
        <f>(G46*F60)+(G47*F61)</f>
        <v>286.4054825434478</v>
      </c>
      <c r="H14" s="328">
        <f t="shared" si="1"/>
        <v>50.064775854403784</v>
      </c>
      <c r="I14" s="82"/>
      <c r="J14" s="82">
        <v>7.5</v>
      </c>
      <c r="K14" s="324" t="s">
        <v>599</v>
      </c>
      <c r="L14" s="82"/>
      <c r="N14" s="303" t="s">
        <v>563</v>
      </c>
    </row>
    <row r="15" spans="1:14" ht="12.75">
      <c r="A15" t="s">
        <v>55</v>
      </c>
      <c r="C15" s="2"/>
      <c r="D15" s="97">
        <f>+E15*B39</f>
        <v>140.16859199999996</v>
      </c>
      <c r="E15" s="88">
        <f>+'Labeling + Retrofit Ord.'!L56</f>
        <v>0.016405499999999996</v>
      </c>
      <c r="F15" s="92">
        <f>0.5*D15*5</f>
        <v>350.4214799999999</v>
      </c>
      <c r="G15" s="97">
        <f>G14</f>
        <v>286.4054825434478</v>
      </c>
      <c r="H15" s="328">
        <f t="shared" si="1"/>
        <v>100.36263307298913</v>
      </c>
      <c r="I15" s="82"/>
      <c r="J15" s="82">
        <v>5</v>
      </c>
      <c r="K15" s="324" t="s">
        <v>599</v>
      </c>
      <c r="L15" s="82"/>
      <c r="N15" s="303" t="s">
        <v>563</v>
      </c>
    </row>
    <row r="16" spans="1:13" ht="12.75">
      <c r="A16" t="s">
        <v>56</v>
      </c>
      <c r="C16" s="2"/>
      <c r="D16" s="97">
        <f>+E16*B39</f>
        <v>64.981899127238</v>
      </c>
      <c r="E16" s="88">
        <f>+'Utility Energy Efficiency'!D49*'Boston GHG Inventory'!R7</f>
        <v>0.007605559354779728</v>
      </c>
      <c r="F16" s="92">
        <f>0.5*D16*7.5</f>
        <v>243.6821217271425</v>
      </c>
      <c r="G16" s="97">
        <f>((G7-G8)/2)+G8</f>
        <v>255.51983057373894</v>
      </c>
      <c r="H16" s="328">
        <f t="shared" si="1"/>
        <v>62.26561445756868</v>
      </c>
      <c r="I16" s="82"/>
      <c r="J16" s="82">
        <v>7.5</v>
      </c>
      <c r="K16" s="324" t="s">
        <v>569</v>
      </c>
      <c r="L16" s="82"/>
      <c r="M16" s="303" t="s">
        <v>563</v>
      </c>
    </row>
    <row r="17" spans="1:13" ht="12.75">
      <c r="A17" s="82" t="s">
        <v>58</v>
      </c>
      <c r="B17" s="82"/>
      <c r="C17" s="95"/>
      <c r="D17" s="97">
        <f>+E17*B39</f>
        <v>8.10360019096654</v>
      </c>
      <c r="E17" s="88">
        <f>'Cool Roofs'!B6</f>
        <v>0.0009484550785307281</v>
      </c>
      <c r="F17" s="92">
        <f t="shared" si="0"/>
        <v>40.5180009548327</v>
      </c>
      <c r="G17" s="82">
        <v>81</v>
      </c>
      <c r="H17" s="328">
        <f t="shared" si="1"/>
        <v>3.2819580773414487</v>
      </c>
      <c r="I17" s="82"/>
      <c r="J17" s="82">
        <v>10</v>
      </c>
      <c r="K17" s="324" t="s">
        <v>552</v>
      </c>
      <c r="L17" s="82"/>
      <c r="M17" s="303" t="s">
        <v>563</v>
      </c>
    </row>
    <row r="18" spans="1:15" ht="12.75">
      <c r="A18" t="s">
        <v>60</v>
      </c>
      <c r="C18" s="2"/>
      <c r="D18" s="97">
        <f>+E18*B39</f>
        <v>41.25834865221461</v>
      </c>
      <c r="E18" s="88">
        <f>0.05*'Boston GHG Inventory'!R7</f>
        <v>0.0048289265744633205</v>
      </c>
      <c r="F18" s="92">
        <f>0.5*D18*7.5</f>
        <v>154.71880744580477</v>
      </c>
      <c r="G18" s="82">
        <v>-64</v>
      </c>
      <c r="H18" s="328">
        <f t="shared" si="1"/>
        <v>-9.902003676531505</v>
      </c>
      <c r="I18" s="82"/>
      <c r="J18" s="82">
        <v>7.5</v>
      </c>
      <c r="K18" s="324" t="s">
        <v>522</v>
      </c>
      <c r="L18" s="82"/>
      <c r="M18" s="303" t="s">
        <v>563</v>
      </c>
      <c r="O18" s="332"/>
    </row>
    <row r="19" spans="1:14" s="82" customFormat="1" ht="12.75">
      <c r="A19" s="82" t="s">
        <v>506</v>
      </c>
      <c r="C19" s="95"/>
      <c r="D19" s="97">
        <f>+E19*B39</f>
        <v>67.22350647761284</v>
      </c>
      <c r="E19" s="88">
        <f>+'Behavior Changes'!B36</f>
        <v>0.007867919765638207</v>
      </c>
      <c r="F19" s="97">
        <f t="shared" si="0"/>
        <v>336.1175323880642</v>
      </c>
      <c r="G19" s="97">
        <f>G14</f>
        <v>286.4054825434478</v>
      </c>
      <c r="H19" s="328">
        <f t="shared" si="1"/>
        <v>96.26590405491648</v>
      </c>
      <c r="J19" s="82">
        <v>10</v>
      </c>
      <c r="K19" s="324" t="s">
        <v>599</v>
      </c>
      <c r="N19" s="324" t="s">
        <v>563</v>
      </c>
    </row>
    <row r="20" spans="3:12" ht="12.75">
      <c r="C20" s="2"/>
      <c r="D20" s="82"/>
      <c r="E20" s="1"/>
      <c r="F20" s="92"/>
      <c r="G20" s="82"/>
      <c r="H20" s="328"/>
      <c r="I20" s="82"/>
      <c r="J20" s="82"/>
      <c r="K20" s="82"/>
      <c r="L20" s="82"/>
    </row>
    <row r="21" spans="1:12" ht="15.75">
      <c r="A21" s="6" t="s">
        <v>598</v>
      </c>
      <c r="B21" s="6">
        <v>2310</v>
      </c>
      <c r="C21" s="7">
        <v>0.271</v>
      </c>
      <c r="D21" s="128">
        <f>+E21*B39</f>
        <v>650.6490397149232</v>
      </c>
      <c r="E21" s="5">
        <f>SUM(E22:E33)</f>
        <v>0.07615274341232715</v>
      </c>
      <c r="F21" s="92"/>
      <c r="G21" s="82"/>
      <c r="H21" s="328"/>
      <c r="I21" s="82"/>
      <c r="J21" s="82"/>
      <c r="K21" s="82"/>
      <c r="L21" s="82"/>
    </row>
    <row r="22" spans="1:22" ht="12.75">
      <c r="A22" t="s">
        <v>44</v>
      </c>
      <c r="C22" s="2"/>
      <c r="D22" s="97">
        <f>E22*B39</f>
        <v>294.08902093143354</v>
      </c>
      <c r="E22" s="88">
        <f>'Vehicle Efficiency'!B8*'Boston GHG Inventory'!R9</f>
        <v>0.034420531476057295</v>
      </c>
      <c r="F22" s="92">
        <f t="shared" si="0"/>
        <v>1470.4451046571676</v>
      </c>
      <c r="G22" s="82">
        <v>137</v>
      </c>
      <c r="H22" s="328">
        <f t="shared" si="1"/>
        <v>201.45097933803197</v>
      </c>
      <c r="I22" s="82"/>
      <c r="J22" s="82">
        <v>10</v>
      </c>
      <c r="K22" s="324" t="s">
        <v>525</v>
      </c>
      <c r="L22" s="82"/>
      <c r="M22" s="303" t="s">
        <v>563</v>
      </c>
      <c r="N22" s="325"/>
      <c r="O22" s="294"/>
      <c r="P22" s="294"/>
      <c r="Q22" s="294"/>
      <c r="R22" s="294"/>
      <c r="S22" s="294"/>
      <c r="T22" s="294"/>
      <c r="U22" s="294"/>
      <c r="V22" s="294"/>
    </row>
    <row r="23" spans="3:22" ht="12.75">
      <c r="C23" s="2"/>
      <c r="D23" s="82"/>
      <c r="E23" s="88"/>
      <c r="F23" s="92"/>
      <c r="G23" s="82"/>
      <c r="H23" s="328"/>
      <c r="I23" s="82"/>
      <c r="J23" s="82"/>
      <c r="K23" s="82"/>
      <c r="L23" s="82"/>
      <c r="N23" s="294"/>
      <c r="O23" s="294"/>
      <c r="P23" s="326"/>
      <c r="Q23" s="294"/>
      <c r="R23" s="294"/>
      <c r="S23" s="294"/>
      <c r="T23" s="294"/>
      <c r="U23" s="294"/>
      <c r="V23" s="294"/>
    </row>
    <row r="24" spans="1:22" ht="12.75">
      <c r="A24" t="s">
        <v>364</v>
      </c>
      <c r="C24" s="2"/>
      <c r="D24" s="97">
        <f>E24*B39</f>
        <v>81.41558434546094</v>
      </c>
      <c r="E24" s="88">
        <f>'Low Carbon Fuel Standard'!A3*'Boston GHG Inventory'!T15</f>
        <v>0.00952897756852305</v>
      </c>
      <c r="F24" s="92">
        <f>0.5*D24*7.5</f>
        <v>305.30844129547853</v>
      </c>
      <c r="G24" s="82">
        <v>-64</v>
      </c>
      <c r="H24" s="328">
        <f t="shared" si="1"/>
        <v>-19.539740242910625</v>
      </c>
      <c r="I24" s="82"/>
      <c r="J24" s="82">
        <v>7.5</v>
      </c>
      <c r="K24" s="324" t="s">
        <v>522</v>
      </c>
      <c r="L24" s="82"/>
      <c r="M24" s="324" t="s">
        <v>563</v>
      </c>
      <c r="N24" s="294"/>
      <c r="O24" s="294"/>
      <c r="P24" s="294"/>
      <c r="Q24" s="294"/>
      <c r="R24" s="294"/>
      <c r="S24" s="294"/>
      <c r="T24" s="294"/>
      <c r="U24" s="294"/>
      <c r="V24" s="294"/>
    </row>
    <row r="25" spans="1:22" ht="12.75">
      <c r="A25" t="s">
        <v>365</v>
      </c>
      <c r="C25" s="2"/>
      <c r="D25" s="97">
        <f>E25*B39</f>
        <v>17.359519754375718</v>
      </c>
      <c r="E25" s="88">
        <f>'Low Carbon Fuel Standard'!A3*'Boston GHG Inventory'!T16</f>
        <v>0.002031778997469068</v>
      </c>
      <c r="F25" s="92">
        <f>0.5*D25*7.5</f>
        <v>65.09819907890895</v>
      </c>
      <c r="G25" s="82">
        <v>-64</v>
      </c>
      <c r="H25" s="328">
        <f t="shared" si="1"/>
        <v>-4.166284741050172</v>
      </c>
      <c r="I25" s="82"/>
      <c r="J25" s="82">
        <v>7.5</v>
      </c>
      <c r="K25" s="82" t="s">
        <v>522</v>
      </c>
      <c r="L25" s="82"/>
      <c r="M25" s="324" t="s">
        <v>563</v>
      </c>
      <c r="N25" s="294"/>
      <c r="O25" s="294"/>
      <c r="P25" s="294"/>
      <c r="Q25" s="294"/>
      <c r="R25" s="294"/>
      <c r="S25" s="294"/>
      <c r="T25" s="294"/>
      <c r="U25" s="294"/>
      <c r="V25" s="294"/>
    </row>
    <row r="26" spans="3:22" ht="12.75">
      <c r="C26" s="2"/>
      <c r="D26" s="82"/>
      <c r="E26" s="88"/>
      <c r="F26" s="92"/>
      <c r="G26" s="82"/>
      <c r="H26" s="328"/>
      <c r="I26" s="82"/>
      <c r="J26" s="82"/>
      <c r="K26" s="82"/>
      <c r="L26" s="82"/>
      <c r="M26" s="82"/>
      <c r="N26" s="294"/>
      <c r="O26" s="294"/>
      <c r="P26" s="294"/>
      <c r="Q26" s="294"/>
      <c r="R26" s="294"/>
      <c r="S26" s="294"/>
      <c r="T26" s="294"/>
      <c r="U26" s="294"/>
      <c r="V26" s="294"/>
    </row>
    <row r="27" spans="1:22" ht="12.75">
      <c r="A27" t="s">
        <v>46</v>
      </c>
      <c r="C27" s="2"/>
      <c r="D27" s="82"/>
      <c r="E27" s="88"/>
      <c r="F27" s="92"/>
      <c r="G27" s="82"/>
      <c r="H27" s="328"/>
      <c r="I27" s="82"/>
      <c r="J27" s="82"/>
      <c r="K27" s="82"/>
      <c r="L27" s="82"/>
      <c r="M27" s="82"/>
      <c r="N27" s="325"/>
      <c r="O27" s="294"/>
      <c r="P27" s="294"/>
      <c r="Q27" s="294"/>
      <c r="R27" s="294"/>
      <c r="S27" s="294"/>
      <c r="T27" s="294"/>
      <c r="U27" s="294"/>
      <c r="V27" s="294"/>
    </row>
    <row r="28" spans="1:22" ht="12.75">
      <c r="A28" t="s">
        <v>47</v>
      </c>
      <c r="C28" s="2"/>
      <c r="D28" s="97">
        <f>E28*B39</f>
        <v>16.69711615833874</v>
      </c>
      <c r="E28" s="88">
        <f>+'VMT Reduction'!F5</f>
        <v>0.00195425048669695</v>
      </c>
      <c r="F28" s="92">
        <f t="shared" si="0"/>
        <v>83.4855807916937</v>
      </c>
      <c r="G28" s="82">
        <v>198</v>
      </c>
      <c r="H28" s="328">
        <f t="shared" si="1"/>
        <v>16.530144996755354</v>
      </c>
      <c r="I28" s="82"/>
      <c r="J28" s="82">
        <v>10</v>
      </c>
      <c r="K28" s="324" t="s">
        <v>591</v>
      </c>
      <c r="L28" s="82"/>
      <c r="M28" s="82"/>
      <c r="N28" s="327"/>
      <c r="O28" s="326" t="s">
        <v>563</v>
      </c>
      <c r="P28" s="294"/>
      <c r="Q28" s="326"/>
      <c r="R28" s="294"/>
      <c r="S28" s="294"/>
      <c r="T28" s="294"/>
      <c r="U28" s="294"/>
      <c r="V28" s="294"/>
    </row>
    <row r="29" spans="1:22" ht="12.75">
      <c r="A29" t="s">
        <v>48</v>
      </c>
      <c r="C29" s="2"/>
      <c r="D29" s="97">
        <f>E29*B39</f>
        <v>42.664555483452304</v>
      </c>
      <c r="E29" s="88">
        <f>+'VMT Reduction'!F6</f>
        <v>0.004993510707332901</v>
      </c>
      <c r="F29" s="92">
        <f t="shared" si="0"/>
        <v>213.32277741726153</v>
      </c>
      <c r="G29" s="82">
        <v>198</v>
      </c>
      <c r="H29" s="328">
        <f t="shared" si="1"/>
        <v>42.23790992861778</v>
      </c>
      <c r="I29" s="82"/>
      <c r="J29" s="82">
        <v>10</v>
      </c>
      <c r="K29" s="324" t="s">
        <v>591</v>
      </c>
      <c r="L29" s="82"/>
      <c r="M29" s="82"/>
      <c r="N29" s="327"/>
      <c r="O29" s="326" t="s">
        <v>563</v>
      </c>
      <c r="P29" s="326"/>
      <c r="Q29" s="294"/>
      <c r="R29" s="294"/>
      <c r="S29" s="294"/>
      <c r="T29" s="294"/>
      <c r="U29" s="294"/>
      <c r="V29" s="294"/>
    </row>
    <row r="30" spans="1:22" ht="12.75">
      <c r="A30" t="s">
        <v>49</v>
      </c>
      <c r="C30" s="2"/>
      <c r="D30" s="97">
        <f>E30*B39</f>
        <v>102.974328358209</v>
      </c>
      <c r="E30" s="88">
        <f>+'VMT Reduction'!F7</f>
        <v>0.012052238805970153</v>
      </c>
      <c r="F30" s="92">
        <f t="shared" si="0"/>
        <v>514.871641791045</v>
      </c>
      <c r="G30" s="82">
        <v>198</v>
      </c>
      <c r="H30" s="328">
        <f t="shared" si="1"/>
        <v>101.94458507462691</v>
      </c>
      <c r="I30" s="82"/>
      <c r="J30" s="82">
        <v>10</v>
      </c>
      <c r="K30" s="324" t="s">
        <v>591</v>
      </c>
      <c r="L30" s="82"/>
      <c r="M30" s="82"/>
      <c r="N30" s="294"/>
      <c r="O30" s="326" t="s">
        <v>563</v>
      </c>
      <c r="P30" s="294"/>
      <c r="Q30" s="294"/>
      <c r="R30" s="294"/>
      <c r="S30" s="294"/>
      <c r="T30" s="294"/>
      <c r="U30" s="294"/>
      <c r="V30" s="294"/>
    </row>
    <row r="31" spans="1:22" ht="12.75">
      <c r="A31" s="82" t="s">
        <v>287</v>
      </c>
      <c r="B31" s="82"/>
      <c r="C31" s="95"/>
      <c r="D31" s="97">
        <f>+E31*B39</f>
        <v>3.524677918917258</v>
      </c>
      <c r="E31" s="241">
        <f>+'Anti-idling'!F10/'Boston GHG Inventory'!K41</f>
        <v>0.0004125325279631622</v>
      </c>
      <c r="F31" s="92">
        <f t="shared" si="0"/>
        <v>17.62338959458629</v>
      </c>
      <c r="G31">
        <f>137*2</f>
        <v>274</v>
      </c>
      <c r="H31" s="309">
        <f t="shared" si="1"/>
        <v>4.828808748916643</v>
      </c>
      <c r="J31">
        <v>10</v>
      </c>
      <c r="K31" s="303" t="s">
        <v>526</v>
      </c>
      <c r="M31" s="303" t="s">
        <v>563</v>
      </c>
      <c r="N31" s="294"/>
      <c r="O31" s="294"/>
      <c r="P31" s="326"/>
      <c r="Q31" s="294"/>
      <c r="R31" s="294"/>
      <c r="S31" s="294"/>
      <c r="T31" s="294"/>
      <c r="U31" s="294"/>
      <c r="V31" s="294"/>
    </row>
    <row r="32" spans="1:13" ht="12.75">
      <c r="A32" s="82" t="s">
        <v>507</v>
      </c>
      <c r="B32" s="82"/>
      <c r="C32" s="95"/>
      <c r="D32" s="97">
        <f>E32*B39</f>
        <v>91.92423676473571</v>
      </c>
      <c r="E32" s="302">
        <f>+'Behavior Changes'!B37</f>
        <v>0.010758922842314573</v>
      </c>
      <c r="F32" s="92">
        <f t="shared" si="0"/>
        <v>459.62118382367856</v>
      </c>
      <c r="G32">
        <f>137</f>
        <v>137</v>
      </c>
      <c r="H32" s="309">
        <f t="shared" si="1"/>
        <v>62.96810218384396</v>
      </c>
      <c r="J32">
        <v>10</v>
      </c>
      <c r="K32" s="303" t="s">
        <v>525</v>
      </c>
      <c r="M32" s="303" t="s">
        <v>563</v>
      </c>
    </row>
    <row r="33" spans="3:8" ht="12.75">
      <c r="C33" s="2"/>
      <c r="D33" s="82"/>
      <c r="E33" s="1"/>
      <c r="F33" s="92"/>
      <c r="H33" s="309"/>
    </row>
    <row r="34" spans="1:8" ht="15.75">
      <c r="A34" s="6" t="s">
        <v>39</v>
      </c>
      <c r="B34" s="6">
        <f>34+182</f>
        <v>216</v>
      </c>
      <c r="C34" s="7">
        <v>0.025</v>
      </c>
      <c r="D34" s="128">
        <f>E34*B39</f>
        <v>57.96587978932176</v>
      </c>
      <c r="E34" s="5">
        <f>SUM(E35:E37)</f>
        <v>0.0067843960427576965</v>
      </c>
      <c r="F34" s="92"/>
      <c r="H34" s="309"/>
    </row>
    <row r="35" spans="1:13" ht="12.75">
      <c r="A35" t="s">
        <v>57</v>
      </c>
      <c r="C35" s="2"/>
      <c r="D35" s="97">
        <f>E35*B39</f>
        <v>15.500225307769021</v>
      </c>
      <c r="E35" s="88">
        <f>'Solid Waste-Recycling'!F18*'Boston GHG Inventory'!R21</f>
        <v>0.0018141649470703443</v>
      </c>
      <c r="F35" s="92">
        <f>0.5*D35*5</f>
        <v>38.75056326942256</v>
      </c>
      <c r="G35">
        <v>0</v>
      </c>
      <c r="H35" s="309">
        <f t="shared" si="1"/>
        <v>0</v>
      </c>
      <c r="J35">
        <v>5</v>
      </c>
      <c r="K35" s="303" t="s">
        <v>527</v>
      </c>
      <c r="M35" s="303" t="s">
        <v>563</v>
      </c>
    </row>
    <row r="36" spans="1:13" ht="12.75">
      <c r="A36" t="s">
        <v>222</v>
      </c>
      <c r="C36" s="2"/>
      <c r="D36" s="97">
        <f>E36*B39</f>
        <v>42.46565448155274</v>
      </c>
      <c r="E36" s="1">
        <f>'Solid Waste-Recycling'!A59*'Boston GHG Inventory'!R22</f>
        <v>0.0049702310956873524</v>
      </c>
      <c r="F36" s="92">
        <f>0.5*D36*5</f>
        <v>106.16413620388185</v>
      </c>
      <c r="G36">
        <v>0</v>
      </c>
      <c r="H36" s="309">
        <f t="shared" si="1"/>
        <v>0</v>
      </c>
      <c r="J36">
        <v>5</v>
      </c>
      <c r="K36" s="303" t="s">
        <v>527</v>
      </c>
      <c r="M36" s="303" t="s">
        <v>563</v>
      </c>
    </row>
    <row r="37" spans="3:5" ht="12.75">
      <c r="C37" s="2"/>
      <c r="D37" s="82"/>
      <c r="E37" s="1"/>
    </row>
    <row r="38" spans="3:5" ht="12.75">
      <c r="C38" s="2"/>
      <c r="D38" s="82"/>
      <c r="E38" s="1"/>
    </row>
    <row r="39" spans="1:8" ht="20.25">
      <c r="A39" s="6" t="s">
        <v>40</v>
      </c>
      <c r="B39" s="6">
        <f>SUM(B5,B21,B34)</f>
        <v>8544</v>
      </c>
      <c r="C39" s="7">
        <f>SUM(C5,C21,C34)</f>
        <v>1.001</v>
      </c>
      <c r="D39" s="128">
        <f>+E39*B39</f>
        <v>2166.243177705744</v>
      </c>
      <c r="E39" s="314">
        <f>+E34+E21+E5</f>
        <v>0.2535396977651854</v>
      </c>
      <c r="F39" s="127">
        <f>SUM(F6:F36)</f>
        <v>10021.342575206307</v>
      </c>
      <c r="H39" s="313">
        <f>SUM(H6:H36)</f>
        <v>2071.9800755408896</v>
      </c>
    </row>
    <row r="40" ht="76.5">
      <c r="K40" s="43" t="s">
        <v>613</v>
      </c>
    </row>
    <row r="43" ht="13.5" thickBot="1"/>
    <row r="44" spans="1:7" ht="25.5">
      <c r="A44" s="310" t="s">
        <v>543</v>
      </c>
      <c r="B44" s="312" t="s">
        <v>544</v>
      </c>
      <c r="D44" s="343"/>
      <c r="E44" s="338" t="s">
        <v>565</v>
      </c>
      <c r="F44" s="329"/>
      <c r="G44" s="330"/>
    </row>
    <row r="45" spans="1:7" ht="25.5">
      <c r="A45" s="311" t="s">
        <v>528</v>
      </c>
      <c r="B45" s="99">
        <v>-494</v>
      </c>
      <c r="D45" s="331"/>
      <c r="E45" s="341" t="s">
        <v>564</v>
      </c>
      <c r="F45" s="339" t="s">
        <v>568</v>
      </c>
      <c r="G45" s="340" t="s">
        <v>550</v>
      </c>
    </row>
    <row r="46" spans="1:7" ht="12.75">
      <c r="A46" s="311" t="s">
        <v>529</v>
      </c>
      <c r="B46" s="99">
        <v>-485</v>
      </c>
      <c r="D46" s="344" t="s">
        <v>610</v>
      </c>
      <c r="E46" s="342">
        <v>3712</v>
      </c>
      <c r="F46" s="349">
        <v>9.8</v>
      </c>
      <c r="G46" s="333">
        <f>(E46/F46)</f>
        <v>378.7755102040816</v>
      </c>
    </row>
    <row r="47" spans="1:7" ht="13.5" thickBot="1">
      <c r="A47" s="311" t="s">
        <v>530</v>
      </c>
      <c r="B47" s="99">
        <v>-476</v>
      </c>
      <c r="D47" s="345" t="s">
        <v>611</v>
      </c>
      <c r="E47" s="346">
        <v>701</v>
      </c>
      <c r="F47" s="348">
        <v>5.3</v>
      </c>
      <c r="G47" s="347">
        <f>(E47/F47)</f>
        <v>132.26415094339623</v>
      </c>
    </row>
    <row r="48" spans="1:7" ht="12.75">
      <c r="A48" s="311" t="s">
        <v>531</v>
      </c>
      <c r="B48" s="99">
        <v>-474</v>
      </c>
      <c r="D48" s="42"/>
      <c r="E48" s="42"/>
      <c r="F48" s="42"/>
      <c r="G48" s="42"/>
    </row>
    <row r="49" spans="1:7" ht="12.75">
      <c r="A49" s="311" t="s">
        <v>532</v>
      </c>
      <c r="B49" s="99">
        <v>-438</v>
      </c>
      <c r="D49" s="337" t="s">
        <v>608</v>
      </c>
      <c r="F49" s="42"/>
      <c r="G49" s="42"/>
    </row>
    <row r="50" spans="1:7" ht="12.75">
      <c r="A50" s="311" t="s">
        <v>524</v>
      </c>
      <c r="B50" s="99">
        <v>-275</v>
      </c>
      <c r="D50" s="326" t="s">
        <v>609</v>
      </c>
      <c r="F50" s="326"/>
      <c r="G50" s="294"/>
    </row>
    <row r="51" spans="1:7" ht="12.75">
      <c r="A51" s="311" t="s">
        <v>533</v>
      </c>
      <c r="B51" s="99">
        <v>-255</v>
      </c>
      <c r="E51" s="335"/>
      <c r="F51" s="336"/>
      <c r="G51" s="335"/>
    </row>
    <row r="52" spans="1:7" ht="12.75">
      <c r="A52" s="311" t="s">
        <v>534</v>
      </c>
      <c r="B52" s="99">
        <v>-205</v>
      </c>
      <c r="E52" s="335"/>
      <c r="F52" s="336"/>
      <c r="G52" s="335"/>
    </row>
    <row r="53" spans="1:7" ht="12.75">
      <c r="A53" s="311" t="s">
        <v>535</v>
      </c>
      <c r="B53" s="99">
        <v>-179</v>
      </c>
      <c r="D53" s="4" t="s">
        <v>566</v>
      </c>
      <c r="E53" s="294"/>
      <c r="F53" s="294"/>
      <c r="G53" s="294"/>
    </row>
    <row r="54" spans="1:7" ht="12.75">
      <c r="A54" s="311" t="s">
        <v>536</v>
      </c>
      <c r="B54" s="99">
        <v>-169</v>
      </c>
      <c r="D54" s="326" t="s">
        <v>579</v>
      </c>
      <c r="E54" s="294"/>
      <c r="F54" s="294"/>
      <c r="G54" s="294"/>
    </row>
    <row r="55" spans="1:7" ht="12.75">
      <c r="A55" s="311" t="s">
        <v>525</v>
      </c>
      <c r="B55" s="99">
        <v>-137</v>
      </c>
      <c r="D55" s="326" t="s">
        <v>570</v>
      </c>
      <c r="E55" s="294"/>
      <c r="F55" s="294"/>
      <c r="G55" s="294"/>
    </row>
    <row r="56" spans="1:2" ht="12.75">
      <c r="A56" s="311" t="s">
        <v>523</v>
      </c>
      <c r="B56" s="99">
        <v>-119</v>
      </c>
    </row>
    <row r="57" spans="1:2" ht="12.75">
      <c r="A57" s="311" t="s">
        <v>537</v>
      </c>
      <c r="B57" s="99">
        <v>-81</v>
      </c>
    </row>
    <row r="58" spans="1:4" ht="12.75">
      <c r="A58" s="311" t="s">
        <v>538</v>
      </c>
      <c r="B58" s="99">
        <v>-57</v>
      </c>
      <c r="D58" s="4" t="s">
        <v>604</v>
      </c>
    </row>
    <row r="59" spans="1:6" ht="12.75">
      <c r="A59" s="311" t="s">
        <v>539</v>
      </c>
      <c r="B59" s="99">
        <v>-55</v>
      </c>
      <c r="D59" s="436" t="s">
        <v>601</v>
      </c>
      <c r="E59" s="436"/>
      <c r="F59" s="436" t="s">
        <v>602</v>
      </c>
    </row>
    <row r="60" spans="1:6" ht="12.75">
      <c r="A60" s="311" t="s">
        <v>540</v>
      </c>
      <c r="B60" s="99">
        <v>-28</v>
      </c>
      <c r="D60" s="436" t="s">
        <v>92</v>
      </c>
      <c r="E60" s="437">
        <f>'Boston GHG Inventory'!R5</f>
        <v>0.3842779555147799</v>
      </c>
      <c r="F60" s="437">
        <f>E60/E62</f>
        <v>0.6252909888710132</v>
      </c>
    </row>
    <row r="61" spans="1:6" ht="12.75">
      <c r="A61" s="311" t="s">
        <v>541</v>
      </c>
      <c r="B61" s="99">
        <v>-26</v>
      </c>
      <c r="D61" s="436" t="s">
        <v>93</v>
      </c>
      <c r="E61" s="437">
        <f>'Boston GHG Inventory'!R6</f>
        <v>0.2302806457671744</v>
      </c>
      <c r="F61" s="437">
        <f>E61/E62</f>
        <v>0.37470901112898686</v>
      </c>
    </row>
    <row r="62" spans="1:6" ht="12.75">
      <c r="A62" s="311" t="s">
        <v>542</v>
      </c>
      <c r="B62" s="99">
        <v>0</v>
      </c>
      <c r="D62" s="436" t="s">
        <v>40</v>
      </c>
      <c r="E62" s="437">
        <f>SUM(E60:E61)</f>
        <v>0.6145586012819543</v>
      </c>
      <c r="F62" s="437">
        <f>E62/E62</f>
        <v>1</v>
      </c>
    </row>
    <row r="63" spans="1:2" ht="12.75">
      <c r="A63" s="311" t="s">
        <v>527</v>
      </c>
      <c r="B63" s="99">
        <v>0</v>
      </c>
    </row>
    <row r="64" spans="1:2" ht="12.75">
      <c r="A64" s="311" t="s">
        <v>522</v>
      </c>
      <c r="B64" s="99">
        <v>64</v>
      </c>
    </row>
    <row r="73" ht="12.75" customHeight="1"/>
    <row r="74" spans="1:4" ht="66" customHeight="1">
      <c r="A74" s="425"/>
      <c r="B74" s="426" t="s">
        <v>600</v>
      </c>
      <c r="C74" s="426" t="s">
        <v>593</v>
      </c>
      <c r="D74" s="426" t="s">
        <v>592</v>
      </c>
    </row>
    <row r="75" spans="1:4" ht="20.25">
      <c r="A75" s="420" t="s">
        <v>37</v>
      </c>
      <c r="B75" s="440">
        <f>SUM(B76:B87)</f>
        <v>6746.651557283182</v>
      </c>
      <c r="C75" s="421"/>
      <c r="D75" s="422">
        <f>SUM(D76:D87)</f>
        <v>1665.7255702540579</v>
      </c>
    </row>
    <row r="76" spans="1:4" ht="12.75">
      <c r="A76" s="40" t="s">
        <v>50</v>
      </c>
      <c r="B76" s="441">
        <f aca="true" t="shared" si="2" ref="B76:C80">F6</f>
        <v>1231.2265694693544</v>
      </c>
      <c r="C76" s="40">
        <f t="shared" si="2"/>
        <v>-64</v>
      </c>
      <c r="D76" s="417">
        <f>C76*B76/1000</f>
        <v>-78.79850044603869</v>
      </c>
    </row>
    <row r="77" spans="1:4" ht="12.75">
      <c r="A77" s="40" t="s">
        <v>470</v>
      </c>
      <c r="B77" s="441">
        <f t="shared" si="2"/>
        <v>2610.2003272750326</v>
      </c>
      <c r="C77" s="419">
        <f t="shared" si="2"/>
        <v>378.7755102040816</v>
      </c>
      <c r="D77" s="417">
        <f aca="true" t="shared" si="3" ref="D77:D100">C77*B77/1000</f>
        <v>988.6799606984613</v>
      </c>
    </row>
    <row r="78" spans="1:4" ht="12.75">
      <c r="A78" s="40" t="s">
        <v>134</v>
      </c>
      <c r="B78" s="441">
        <f t="shared" si="2"/>
        <v>757.4943674123742</v>
      </c>
      <c r="C78" s="419">
        <f t="shared" si="2"/>
        <v>132.26415094339623</v>
      </c>
      <c r="D78" s="417">
        <f t="shared" si="3"/>
        <v>100.18934935020272</v>
      </c>
    </row>
    <row r="79" spans="1:4" ht="12.75">
      <c r="A79" s="40" t="s">
        <v>51</v>
      </c>
      <c r="B79" s="441">
        <f t="shared" si="2"/>
        <v>200.43501240705132</v>
      </c>
      <c r="C79" s="416">
        <f t="shared" si="2"/>
        <v>429.60822381517175</v>
      </c>
      <c r="D79" s="417">
        <f t="shared" si="3"/>
        <v>86.10852967056523</v>
      </c>
    </row>
    <row r="80" spans="1:4" ht="12.75">
      <c r="A80" s="40" t="s">
        <v>53</v>
      </c>
      <c r="B80" s="441">
        <f t="shared" si="2"/>
        <v>546.816</v>
      </c>
      <c r="C80" s="416">
        <f t="shared" si="2"/>
        <v>429.60822381517175</v>
      </c>
      <c r="D80" s="417">
        <f t="shared" si="3"/>
        <v>234.91665051371697</v>
      </c>
    </row>
    <row r="81" spans="1:4" ht="12.75">
      <c r="A81" s="40" t="s">
        <v>52</v>
      </c>
      <c r="B81" s="441">
        <f aca="true" t="shared" si="4" ref="B81:C87">F13</f>
        <v>100.21750620352566</v>
      </c>
      <c r="C81" s="416">
        <f t="shared" si="4"/>
        <v>322.20616786137884</v>
      </c>
      <c r="D81" s="417">
        <f t="shared" si="3"/>
        <v>32.29069862646196</v>
      </c>
    </row>
    <row r="82" spans="1:4" ht="12.75">
      <c r="A82" s="40" t="s">
        <v>54</v>
      </c>
      <c r="B82" s="441">
        <f t="shared" si="4"/>
        <v>174.803832</v>
      </c>
      <c r="C82" s="419">
        <f t="shared" si="4"/>
        <v>286.4054825434478</v>
      </c>
      <c r="D82" s="417">
        <f t="shared" si="3"/>
        <v>50.064775854403784</v>
      </c>
    </row>
    <row r="83" spans="1:4" ht="12.75">
      <c r="A83" s="40" t="s">
        <v>55</v>
      </c>
      <c r="B83" s="441">
        <f t="shared" si="4"/>
        <v>350.4214799999999</v>
      </c>
      <c r="C83" s="419">
        <f t="shared" si="4"/>
        <v>286.4054825434478</v>
      </c>
      <c r="D83" s="417">
        <f t="shared" si="3"/>
        <v>100.36263307298913</v>
      </c>
    </row>
    <row r="84" spans="1:4" ht="12.75">
      <c r="A84" s="40" t="s">
        <v>56</v>
      </c>
      <c r="B84" s="441">
        <f t="shared" si="4"/>
        <v>243.6821217271425</v>
      </c>
      <c r="C84" s="419">
        <f t="shared" si="4"/>
        <v>255.51983057373894</v>
      </c>
      <c r="D84" s="417">
        <f t="shared" si="3"/>
        <v>62.26561445756868</v>
      </c>
    </row>
    <row r="85" spans="1:4" ht="12.75">
      <c r="A85" s="418" t="s">
        <v>58</v>
      </c>
      <c r="B85" s="441">
        <f t="shared" si="4"/>
        <v>40.5180009548327</v>
      </c>
      <c r="C85" s="418">
        <f t="shared" si="4"/>
        <v>81</v>
      </c>
      <c r="D85" s="417">
        <f t="shared" si="3"/>
        <v>3.2819580773414487</v>
      </c>
    </row>
    <row r="86" spans="1:4" ht="12.75">
      <c r="A86" s="40" t="s">
        <v>60</v>
      </c>
      <c r="B86" s="441">
        <f t="shared" si="4"/>
        <v>154.71880744580477</v>
      </c>
      <c r="C86" s="418">
        <f t="shared" si="4"/>
        <v>-64</v>
      </c>
      <c r="D86" s="417">
        <f t="shared" si="3"/>
        <v>-9.902003676531505</v>
      </c>
    </row>
    <row r="87" spans="1:4" ht="12.75">
      <c r="A87" s="40" t="s">
        <v>506</v>
      </c>
      <c r="B87" s="441">
        <f t="shared" si="4"/>
        <v>336.1175323880642</v>
      </c>
      <c r="C87" s="419">
        <f t="shared" si="4"/>
        <v>286.4054825434478</v>
      </c>
      <c r="D87" s="417">
        <f t="shared" si="3"/>
        <v>96.26590405491648</v>
      </c>
    </row>
    <row r="88" spans="1:4" ht="20.25">
      <c r="A88" s="420" t="s">
        <v>38</v>
      </c>
      <c r="B88" s="440">
        <f>SUM(B89:B97)</f>
        <v>3129.7763184498203</v>
      </c>
      <c r="C88" s="421"/>
      <c r="D88" s="423">
        <f>SUM(D89:D97)</f>
        <v>406.2545052868318</v>
      </c>
    </row>
    <row r="89" spans="1:4" ht="12.75">
      <c r="A89" s="40" t="s">
        <v>44</v>
      </c>
      <c r="B89" s="441">
        <f>F22</f>
        <v>1470.4451046571676</v>
      </c>
      <c r="C89" s="40">
        <f>G22</f>
        <v>137</v>
      </c>
      <c r="D89" s="417">
        <f t="shared" si="3"/>
        <v>201.45097933803197</v>
      </c>
    </row>
    <row r="90" spans="1:4" ht="25.5">
      <c r="A90" s="424" t="s">
        <v>364</v>
      </c>
      <c r="B90" s="441">
        <f>F24</f>
        <v>305.30844129547853</v>
      </c>
      <c r="C90" s="418">
        <f>G24</f>
        <v>-64</v>
      </c>
      <c r="D90" s="417">
        <f t="shared" si="3"/>
        <v>-19.539740242910625</v>
      </c>
    </row>
    <row r="91" spans="1:4" ht="12.75">
      <c r="A91" s="40" t="s">
        <v>365</v>
      </c>
      <c r="B91" s="441">
        <f>F25</f>
        <v>65.09819907890895</v>
      </c>
      <c r="C91" s="418">
        <f>G25</f>
        <v>-64</v>
      </c>
      <c r="D91" s="417">
        <f t="shared" si="3"/>
        <v>-4.166284741050172</v>
      </c>
    </row>
    <row r="92" spans="1:4" ht="12.75">
      <c r="A92" s="40" t="s">
        <v>46</v>
      </c>
      <c r="B92" s="441"/>
      <c r="C92" s="418"/>
      <c r="D92" s="417">
        <f t="shared" si="3"/>
        <v>0</v>
      </c>
    </row>
    <row r="93" spans="1:4" ht="12.75">
      <c r="A93" s="40" t="s">
        <v>47</v>
      </c>
      <c r="B93" s="441">
        <f aca="true" t="shared" si="5" ref="B93:C97">F28</f>
        <v>83.4855807916937</v>
      </c>
      <c r="C93" s="418">
        <f t="shared" si="5"/>
        <v>198</v>
      </c>
      <c r="D93" s="417">
        <f t="shared" si="3"/>
        <v>16.530144996755354</v>
      </c>
    </row>
    <row r="94" spans="1:4" ht="12.75">
      <c r="A94" s="40" t="s">
        <v>48</v>
      </c>
      <c r="B94" s="441">
        <f t="shared" si="5"/>
        <v>213.32277741726153</v>
      </c>
      <c r="C94" s="418">
        <f t="shared" si="5"/>
        <v>198</v>
      </c>
      <c r="D94" s="417">
        <f t="shared" si="3"/>
        <v>42.23790992861778</v>
      </c>
    </row>
    <row r="95" spans="1:4" ht="12.75">
      <c r="A95" s="40" t="s">
        <v>49</v>
      </c>
      <c r="B95" s="441">
        <f t="shared" si="5"/>
        <v>514.871641791045</v>
      </c>
      <c r="C95" s="418">
        <f t="shared" si="5"/>
        <v>198</v>
      </c>
      <c r="D95" s="417">
        <f t="shared" si="3"/>
        <v>101.94458507462691</v>
      </c>
    </row>
    <row r="96" spans="1:4" ht="12.75">
      <c r="A96" s="418" t="s">
        <v>287</v>
      </c>
      <c r="B96" s="441">
        <f t="shared" si="5"/>
        <v>17.62338959458629</v>
      </c>
      <c r="C96" s="40">
        <f t="shared" si="5"/>
        <v>274</v>
      </c>
      <c r="D96" s="417">
        <f t="shared" si="3"/>
        <v>4.828808748916643</v>
      </c>
    </row>
    <row r="97" spans="1:4" ht="12.75">
      <c r="A97" s="418" t="s">
        <v>507</v>
      </c>
      <c r="B97" s="441">
        <f t="shared" si="5"/>
        <v>459.62118382367856</v>
      </c>
      <c r="C97" s="40">
        <f t="shared" si="5"/>
        <v>137</v>
      </c>
      <c r="D97" s="417">
        <f t="shared" si="3"/>
        <v>62.96810218384396</v>
      </c>
    </row>
    <row r="98" spans="1:4" ht="20.25">
      <c r="A98" s="420" t="s">
        <v>39</v>
      </c>
      <c r="B98" s="440">
        <f>SUM(B99:B100)</f>
        <v>144.9146994733044</v>
      </c>
      <c r="C98" s="421"/>
      <c r="D98" s="423">
        <f>SUM(D99:D100)</f>
        <v>0</v>
      </c>
    </row>
    <row r="99" spans="1:4" ht="12.75">
      <c r="A99" s="40" t="s">
        <v>57</v>
      </c>
      <c r="B99" s="441">
        <f>F35</f>
        <v>38.75056326942256</v>
      </c>
      <c r="C99" s="40">
        <f>G35</f>
        <v>0</v>
      </c>
      <c r="D99" s="417">
        <f t="shared" si="3"/>
        <v>0</v>
      </c>
    </row>
    <row r="100" spans="1:4" ht="12.75">
      <c r="A100" s="40" t="s">
        <v>222</v>
      </c>
      <c r="B100" s="441">
        <f>F36</f>
        <v>106.16413620388185</v>
      </c>
      <c r="C100" s="40">
        <f>G36</f>
        <v>0</v>
      </c>
      <c r="D100" s="417">
        <f t="shared" si="3"/>
        <v>0</v>
      </c>
    </row>
    <row r="101" spans="1:4" ht="20.25">
      <c r="A101" s="427" t="s">
        <v>40</v>
      </c>
      <c r="B101" s="442">
        <v>10021.342575206309</v>
      </c>
      <c r="C101" s="428"/>
      <c r="D101" s="429">
        <f>H39</f>
        <v>2071.9800755408896</v>
      </c>
    </row>
    <row r="105" spans="1:3" ht="76.5">
      <c r="A105" s="425"/>
      <c r="B105" s="426" t="s">
        <v>600</v>
      </c>
      <c r="C105" s="426" t="s">
        <v>592</v>
      </c>
    </row>
    <row r="106" spans="1:3" ht="15.75">
      <c r="A106" s="430" t="s">
        <v>37</v>
      </c>
      <c r="B106" s="443">
        <f>B75</f>
        <v>6746.651557283182</v>
      </c>
      <c r="C106" s="431">
        <f>D75</f>
        <v>1665.7255702540579</v>
      </c>
    </row>
    <row r="107" spans="1:3" ht="15.75">
      <c r="A107" s="430" t="s">
        <v>38</v>
      </c>
      <c r="B107" s="443">
        <f>B88</f>
        <v>3129.7763184498203</v>
      </c>
      <c r="C107" s="432">
        <f>D88</f>
        <v>406.2545052868318</v>
      </c>
    </row>
    <row r="108" spans="1:3" ht="15.75">
      <c r="A108" s="430" t="s">
        <v>39</v>
      </c>
      <c r="B108" s="443">
        <f>B98</f>
        <v>144.9146994733044</v>
      </c>
      <c r="C108" s="432">
        <f>D98</f>
        <v>0</v>
      </c>
    </row>
    <row r="109" spans="1:3" ht="15.75">
      <c r="A109" s="433" t="s">
        <v>40</v>
      </c>
      <c r="B109" s="444">
        <f>B101</f>
        <v>10021.342575206309</v>
      </c>
      <c r="C109" s="434">
        <f>D101</f>
        <v>2071.9800755408896</v>
      </c>
    </row>
  </sheetData>
  <sheetProtection/>
  <printOptions/>
  <pageMargins left="0.7" right="0.7" top="0.75" bottom="0.75" header="0.3" footer="0.3"/>
  <pageSetup horizontalDpi="600" verticalDpi="600" orientation="portrait" r:id="rId1"/>
  <ignoredErrors>
    <ignoredError sqref="D88 D98" formula="1"/>
  </ignoredErrors>
</worksheet>
</file>

<file path=xl/worksheets/sheet4.xml><?xml version="1.0" encoding="utf-8"?>
<worksheet xmlns="http://schemas.openxmlformats.org/spreadsheetml/2006/main" xmlns:r="http://schemas.openxmlformats.org/officeDocument/2006/relationships">
  <dimension ref="A1:P231"/>
  <sheetViews>
    <sheetView zoomScalePageLayoutView="0" workbookViewId="0" topLeftCell="A595">
      <selection activeCell="C610" sqref="C610"/>
    </sheetView>
  </sheetViews>
  <sheetFormatPr defaultColWidth="9.140625" defaultRowHeight="12.75"/>
  <cols>
    <col min="1" max="1" width="37.140625" style="0" customWidth="1"/>
    <col min="2" max="2" width="12.28125" style="0" customWidth="1"/>
    <col min="3" max="3" width="6.8515625" style="0" customWidth="1"/>
    <col min="4" max="4" width="16.00390625" style="0" customWidth="1"/>
    <col min="5" max="5" width="14.8515625" style="0" customWidth="1"/>
    <col min="6" max="6" width="17.7109375" style="0" customWidth="1"/>
    <col min="13" max="13" width="14.140625" style="0" customWidth="1"/>
    <col min="14" max="14" width="6.00390625" style="0" customWidth="1"/>
    <col min="15" max="15" width="45.00390625" style="0" customWidth="1"/>
    <col min="16" max="16" width="10.28125" style="0" customWidth="1"/>
  </cols>
  <sheetData>
    <row r="1" ht="15.75">
      <c r="A1" s="77" t="s">
        <v>288</v>
      </c>
    </row>
    <row r="4" ht="12.75">
      <c r="A4" s="152" t="s">
        <v>289</v>
      </c>
    </row>
    <row r="5" spans="1:2" ht="12.75">
      <c r="A5" t="s">
        <v>37</v>
      </c>
      <c r="B5" s="110">
        <f>'Master Mitigation'!E6</f>
        <v>0.17060255831010057</v>
      </c>
    </row>
    <row r="6" spans="1:2" ht="12.75">
      <c r="A6" t="s">
        <v>290</v>
      </c>
      <c r="B6" s="110">
        <f>'Master Mitigation'!E22</f>
        <v>0.07615274341232715</v>
      </c>
    </row>
    <row r="7" spans="1:2" ht="12.75">
      <c r="A7" t="s">
        <v>39</v>
      </c>
      <c r="B7" s="110">
        <f>'Master Mitigation'!E35</f>
        <v>0.0067843960427576965</v>
      </c>
    </row>
    <row r="8" spans="1:2" ht="12.75">
      <c r="A8" t="s">
        <v>294</v>
      </c>
      <c r="B8" s="2">
        <f>1-SUM(B5:B7)</f>
        <v>0.7464603022348146</v>
      </c>
    </row>
    <row r="10" ht="12.75">
      <c r="A10" s="2">
        <f>SUM(B5:B7)</f>
        <v>0.2535396977651854</v>
      </c>
    </row>
    <row r="12" spans="1:2" ht="12.75">
      <c r="A12" t="s">
        <v>37</v>
      </c>
      <c r="B12" s="2">
        <f>B5/A10</f>
        <v>0.6728830231078974</v>
      </c>
    </row>
    <row r="13" spans="1:2" ht="12.75">
      <c r="A13" t="s">
        <v>290</v>
      </c>
      <c r="B13" s="2">
        <f>B6/A10</f>
        <v>0.30035826374951213</v>
      </c>
    </row>
    <row r="14" spans="1:2" ht="12.75">
      <c r="A14" t="s">
        <v>554</v>
      </c>
      <c r="B14" s="2">
        <f>B7/A10</f>
        <v>0.026758713142590523</v>
      </c>
    </row>
    <row r="32" ht="12.75">
      <c r="A32" s="152" t="s">
        <v>291</v>
      </c>
    </row>
    <row r="33" spans="1:2" ht="12.75">
      <c r="A33" t="s">
        <v>50</v>
      </c>
      <c r="B33" s="110">
        <f>'Master Mitigation'!E7</f>
        <v>0.028820846663608485</v>
      </c>
    </row>
    <row r="34" spans="1:2" ht="12.75">
      <c r="A34" t="s">
        <v>133</v>
      </c>
      <c r="B34" s="110">
        <f>'Master Mitigation'!E8</f>
        <v>0.06110019492685</v>
      </c>
    </row>
    <row r="35" spans="1:2" ht="12.75">
      <c r="A35" t="s">
        <v>134</v>
      </c>
      <c r="B35" s="110">
        <f>'Master Mitigation'!E9</f>
        <v>0.01773160972407243</v>
      </c>
    </row>
    <row r="36" spans="1:2" ht="12.75">
      <c r="A36" t="s">
        <v>51</v>
      </c>
      <c r="B36" s="125">
        <f>'Master Mitigation'!E10</f>
        <v>0.0046918308147718005</v>
      </c>
    </row>
    <row r="37" spans="1:2" ht="12.75">
      <c r="A37" t="s">
        <v>53</v>
      </c>
      <c r="B37" s="153">
        <f>'Master Mitigation'!E11</f>
        <v>0.0128</v>
      </c>
    </row>
    <row r="38" spans="1:2" ht="12.75">
      <c r="A38" t="s">
        <v>52</v>
      </c>
      <c r="B38" s="125">
        <f>'Master Mitigation'!E14</f>
        <v>0.0023459154073859003</v>
      </c>
    </row>
    <row r="39" spans="1:2" ht="12.75">
      <c r="A39" t="s">
        <v>54</v>
      </c>
      <c r="B39" s="153">
        <f>'Master Mitigation'!E15</f>
        <v>0.0054558</v>
      </c>
    </row>
    <row r="40" spans="1:2" ht="12.75">
      <c r="A40" t="s">
        <v>55</v>
      </c>
      <c r="B40" s="153">
        <f>'Master Mitigation'!E16</f>
        <v>0.016405499999999996</v>
      </c>
    </row>
    <row r="41" spans="1:2" ht="12.75">
      <c r="A41" t="s">
        <v>56</v>
      </c>
      <c r="B41" s="153">
        <f>'Master Mitigation'!E17</f>
        <v>0.007605559354779728</v>
      </c>
    </row>
    <row r="42" spans="1:2" ht="12.75">
      <c r="A42" t="s">
        <v>58</v>
      </c>
      <c r="B42" s="153">
        <f>'Master Mitigation'!E18</f>
        <v>0.0009484550785307281</v>
      </c>
    </row>
    <row r="43" spans="1:2" ht="12.75">
      <c r="A43" t="s">
        <v>60</v>
      </c>
      <c r="B43" s="153">
        <f>'Master Mitigation'!E19</f>
        <v>0.0048289265744633205</v>
      </c>
    </row>
    <row r="44" spans="1:2" ht="12.75">
      <c r="A44" t="s">
        <v>44</v>
      </c>
      <c r="B44" s="110">
        <f>'Master Mitigation'!E23</f>
        <v>0.034420531476057295</v>
      </c>
    </row>
    <row r="45" spans="1:2" ht="12.75">
      <c r="A45" t="s">
        <v>45</v>
      </c>
      <c r="B45" s="153">
        <f>'Master Mitigation'!E25</f>
        <v>0.00952897756852305</v>
      </c>
    </row>
    <row r="46" spans="1:2" ht="12.75">
      <c r="A46" t="s">
        <v>366</v>
      </c>
      <c r="B46" s="153">
        <f>'Master Mitigation'!E26</f>
        <v>0.002031778997469068</v>
      </c>
    </row>
    <row r="47" spans="1:2" ht="12.75">
      <c r="A47" t="s">
        <v>178</v>
      </c>
      <c r="B47" s="153">
        <f>'Master Mitigation'!E29</f>
        <v>0.00195425048669695</v>
      </c>
    </row>
    <row r="48" spans="1:2" ht="12.75">
      <c r="A48" t="s">
        <v>292</v>
      </c>
      <c r="B48" s="153">
        <f>'Master Mitigation'!E30</f>
        <v>0.004993510707332901</v>
      </c>
    </row>
    <row r="49" spans="1:2" ht="12.75">
      <c r="A49" t="s">
        <v>293</v>
      </c>
      <c r="B49" s="110">
        <f>'Master Mitigation'!E31</f>
        <v>0.012052238805970153</v>
      </c>
    </row>
    <row r="50" spans="1:2" ht="12.75">
      <c r="A50" t="s">
        <v>287</v>
      </c>
      <c r="B50" s="153">
        <f>'Master Mitigation'!E32</f>
        <v>0.0004125325279631622</v>
      </c>
    </row>
    <row r="51" spans="1:2" ht="12.75">
      <c r="A51" t="s">
        <v>57</v>
      </c>
      <c r="B51" s="153">
        <f>'Master Mitigation'!E36</f>
        <v>0.0018141649470703443</v>
      </c>
    </row>
    <row r="52" spans="1:2" ht="12.75">
      <c r="A52" t="s">
        <v>222</v>
      </c>
      <c r="B52" s="153">
        <f>'Master Mitigation'!E37</f>
        <v>0.0049702310956873524</v>
      </c>
    </row>
    <row r="53" spans="1:16" ht="12.75">
      <c r="A53" t="s">
        <v>503</v>
      </c>
      <c r="B53" s="211">
        <f>'Master Mitigation'!E20+'Master Mitigation'!E33</f>
        <v>0.01862684260795278</v>
      </c>
      <c r="P53" s="210"/>
    </row>
    <row r="56" ht="12.75">
      <c r="A56" s="2">
        <f>SUM(B33:B53)</f>
        <v>0.2535396977651854</v>
      </c>
    </row>
    <row r="57" spans="1:2" ht="12.75">
      <c r="A57" t="s">
        <v>50</v>
      </c>
      <c r="B57" s="2">
        <f>$B33/A56</f>
        <v>0.11367390163216481</v>
      </c>
    </row>
    <row r="58" spans="1:2" ht="12.75">
      <c r="A58" t="s">
        <v>470</v>
      </c>
      <c r="B58" s="2">
        <f>$B34/A56</f>
        <v>0.24098867146018946</v>
      </c>
    </row>
    <row r="59" spans="1:2" ht="12.75">
      <c r="A59" t="s">
        <v>134</v>
      </c>
      <c r="B59" s="2">
        <f>$B35/A56</f>
        <v>0.06993622647801086</v>
      </c>
    </row>
    <row r="60" spans="1:2" ht="12.75">
      <c r="A60" t="s">
        <v>51</v>
      </c>
      <c r="B60" s="2">
        <f>$B36/A56</f>
        <v>0.018505310435122144</v>
      </c>
    </row>
    <row r="61" spans="1:2" ht="12.75">
      <c r="A61" t="s">
        <v>53</v>
      </c>
      <c r="B61" s="2">
        <f>$B37/A56</f>
        <v>0.05048519073275325</v>
      </c>
    </row>
    <row r="62" spans="1:2" ht="12.75">
      <c r="A62" t="s">
        <v>52</v>
      </c>
      <c r="B62" s="2">
        <f>$B38/A56</f>
        <v>0.009252655217561072</v>
      </c>
    </row>
    <row r="63" spans="1:2" ht="12.75">
      <c r="A63" t="s">
        <v>54</v>
      </c>
      <c r="B63" s="2">
        <f>$B39/A56</f>
        <v>0.021518523718730875</v>
      </c>
    </row>
    <row r="64" spans="1:2" ht="12.75">
      <c r="A64" t="s">
        <v>55</v>
      </c>
      <c r="B64" s="2">
        <f>$B40/A56</f>
        <v>0.06470584348173307</v>
      </c>
    </row>
    <row r="65" spans="1:2" ht="12.75">
      <c r="A65" t="s">
        <v>56</v>
      </c>
      <c r="B65" s="2">
        <f>$B41/A56</f>
        <v>0.029997508957447683</v>
      </c>
    </row>
    <row r="66" spans="1:2" ht="12.75">
      <c r="A66" t="s">
        <v>58</v>
      </c>
      <c r="B66" s="2">
        <f>$B42/A56</f>
        <v>0.0037408543391462715</v>
      </c>
    </row>
    <row r="67" spans="1:2" ht="12.75">
      <c r="A67" t="s">
        <v>60</v>
      </c>
      <c r="B67" s="2">
        <f>$B43/A56</f>
        <v>0.01904603743330012</v>
      </c>
    </row>
    <row r="68" spans="1:2" ht="12.75">
      <c r="A68" t="s">
        <v>44</v>
      </c>
      <c r="B68" s="2">
        <f>$B44/A56</f>
        <v>0.13575992942902262</v>
      </c>
    </row>
    <row r="69" spans="1:2" ht="12.75">
      <c r="A69" t="s">
        <v>364</v>
      </c>
      <c r="B69" s="2">
        <f>$B45/A56</f>
        <v>0.037583769533985435</v>
      </c>
    </row>
    <row r="70" spans="1:2" ht="12.75">
      <c r="A70" t="s">
        <v>366</v>
      </c>
      <c r="B70" s="2">
        <f>$B46/A56</f>
        <v>0.008013652360470944</v>
      </c>
    </row>
    <row r="71" spans="1:2" ht="12.75">
      <c r="A71" t="s">
        <v>178</v>
      </c>
      <c r="B71" s="2">
        <f>$B47/A56</f>
        <v>0.007707867856286827</v>
      </c>
    </row>
    <row r="72" spans="1:2" ht="12.75">
      <c r="A72" t="s">
        <v>292</v>
      </c>
      <c r="B72" s="2">
        <f>$B48/A56</f>
        <v>0.019695182850448995</v>
      </c>
    </row>
    <row r="73" spans="1:2" ht="12.75">
      <c r="A73" t="s">
        <v>293</v>
      </c>
      <c r="B73" s="2">
        <f>$B49/A56</f>
        <v>0.047535904287194806</v>
      </c>
    </row>
    <row r="74" spans="1:2" ht="12.75">
      <c r="A74" t="s">
        <v>287</v>
      </c>
      <c r="B74" s="2">
        <f>$B50/A56</f>
        <v>0.001627092449819149</v>
      </c>
    </row>
    <row r="75" spans="1:2" ht="12.75">
      <c r="A75" t="s">
        <v>57</v>
      </c>
      <c r="B75" s="2">
        <f>$B51/A56</f>
        <v>0.007155348701056371</v>
      </c>
    </row>
    <row r="76" spans="1:2" ht="12.75">
      <c r="A76" t="s">
        <v>222</v>
      </c>
      <c r="B76" s="2">
        <f>$B52/A56</f>
        <v>0.019603364441534155</v>
      </c>
    </row>
    <row r="77" spans="1:2" ht="12.75">
      <c r="A77" t="s">
        <v>503</v>
      </c>
      <c r="B77" s="279">
        <f>B53/A56</f>
        <v>0.07346716420402118</v>
      </c>
    </row>
    <row r="84" ht="12.75">
      <c r="A84" s="152" t="s">
        <v>295</v>
      </c>
    </row>
    <row r="85" spans="1:2" ht="12.75">
      <c r="A85" t="s">
        <v>112</v>
      </c>
      <c r="B85" s="110">
        <f>SUM('Master Mitigation'!E7:E11,'Master Mitigation'!E23)</f>
        <v>0.15956501360536002</v>
      </c>
    </row>
    <row r="86" spans="1:2" ht="12.75">
      <c r="A86" t="s">
        <v>111</v>
      </c>
      <c r="B86" s="125">
        <f>SUM('Master Mitigation'!E14:E19,'Master Mitigation'!E25,'Master Mitigation'!E29,'Master Mitigation'!E30,'Master Mitigation'!E31,'Master Mitigation'!E36,'Master Mitigation'!E37,'Master Mitigation'!E32,+'Master Mitigation'!E26,'Master Mitigation'!E20,'Master Mitigation'!E33)</f>
        <v>0.09397468415982543</v>
      </c>
    </row>
    <row r="87" ht="12.75">
      <c r="B87" s="2"/>
    </row>
    <row r="90" ht="12.75">
      <c r="A90" s="2">
        <f>SUM(B85:B86)</f>
        <v>0.2535396977651855</v>
      </c>
    </row>
    <row r="91" spans="1:2" ht="12.75">
      <c r="A91" t="s">
        <v>112</v>
      </c>
      <c r="B91" s="2">
        <f>B85/A90</f>
        <v>0.6293492301672631</v>
      </c>
    </row>
    <row r="92" spans="1:2" ht="12.75">
      <c r="A92" t="s">
        <v>111</v>
      </c>
      <c r="B92" s="2">
        <f>B86/A90</f>
        <v>0.37065076983273687</v>
      </c>
    </row>
    <row r="100" ht="12.75">
      <c r="A100" s="204"/>
    </row>
    <row r="101" ht="12.75">
      <c r="A101" s="203"/>
    </row>
    <row r="102" ht="12.75">
      <c r="A102" s="205"/>
    </row>
    <row r="111" ht="12.75">
      <c r="A111" s="152" t="s">
        <v>296</v>
      </c>
    </row>
    <row r="112" spans="1:2" ht="12.75">
      <c r="A112" t="s">
        <v>117</v>
      </c>
      <c r="B112" s="153">
        <f>'Master Mitigation'!E11+('Master Mitigation'!E23*0.75)+(('Master Mitigation'!E25+'Master Mitigation'!E26)*0.6)</f>
        <v>0.045551852546638245</v>
      </c>
    </row>
    <row r="113" spans="1:2" ht="12.75">
      <c r="A113" t="s">
        <v>297</v>
      </c>
      <c r="B113" s="1">
        <f>SUM('Master Mitigation'!E7:E10,'Master Mitigation'!E19)+('Master Mitigation'!E23*0.25)+(('Master Mitigation'!E25+'Master Mitigation'!E26)*0.4)</f>
        <v>0.13040284419917722</v>
      </c>
    </row>
    <row r="114" spans="1:2" ht="12.75">
      <c r="A114" t="s">
        <v>115</v>
      </c>
      <c r="B114" s="1">
        <f>SUM('Master Mitigation'!E14,'Master Mitigation'!E15,'Master Mitigation'!E16,'Master Mitigation'!E17,'Master Mitigation'!E18,'Master Mitigation'!E29,'Master Mitigation'!E30,'Master Mitigation'!E31,'Master Mitigation'!E32,'Master Mitigation'!E36,'Master Mitigation'!E37,'Master Mitigation'!E20,'Master Mitigation'!E33)</f>
        <v>0.07758500101936999</v>
      </c>
    </row>
    <row r="115" ht="12.75">
      <c r="B115" s="2"/>
    </row>
    <row r="117" ht="12.75">
      <c r="A117" s="2">
        <f>SUM(B112:B114)</f>
        <v>0.2535396977651855</v>
      </c>
    </row>
    <row r="118" spans="1:2" ht="12.75">
      <c r="A118" t="s">
        <v>117</v>
      </c>
      <c r="B118" s="2">
        <f>B112/A117</f>
        <v>0.17966359094119402</v>
      </c>
    </row>
    <row r="119" spans="1:2" ht="12.75">
      <c r="A119" t="s">
        <v>297</v>
      </c>
      <c r="B119" s="2">
        <f>B113/A117</f>
        <v>0.5143290985538256</v>
      </c>
    </row>
    <row r="120" spans="1:2" ht="12.75">
      <c r="A120" t="s">
        <v>115</v>
      </c>
      <c r="B120" s="2">
        <f>B114/A117</f>
        <v>0.30600731050498037</v>
      </c>
    </row>
    <row r="137" ht="12.75">
      <c r="A137" s="152" t="s">
        <v>392</v>
      </c>
    </row>
    <row r="138" spans="1:2" ht="12.75">
      <c r="A138" t="s">
        <v>92</v>
      </c>
      <c r="B138" s="211">
        <f>'Master Mitigation'!E7+'Master Mitigation'!E8+(SUM('Master Mitigation'!E10:E18)*0.6)+'Master Mitigation'!E36+'Master Mitigation'!E37+('Master Mitigation'!E20*0.6)</f>
        <v>0.13157802588588002</v>
      </c>
    </row>
    <row r="139" spans="1:2" ht="12.75">
      <c r="A139" t="s">
        <v>393</v>
      </c>
      <c r="B139" s="211">
        <f>'Master Mitigation'!E9+(SUM('Master Mitigation'!E10,'Master Mitigation'!E11,'Master Mitigation'!E14,'Master Mitigation'!E15,'Master Mitigation'!E16,'Master Mitigation'!E18)*0.4)+('Master Mitigation'!E20*0.4)</f>
        <v>0.03793777815060309</v>
      </c>
    </row>
    <row r="140" spans="1:2" ht="12.75">
      <c r="A140" t="s">
        <v>94</v>
      </c>
      <c r="B140" s="211">
        <f>'Master Mitigation'!E17+'Master Mitigation'!E19</f>
        <v>0.01243448592924305</v>
      </c>
    </row>
    <row r="141" spans="1:2" ht="12.75">
      <c r="A141" t="s">
        <v>90</v>
      </c>
      <c r="B141" s="211">
        <f>'Master Mitigation'!E23+'Master Mitigation'!E25+'Master Mitigation'!E29+'Master Mitigation'!E30+'Master Mitigation'!E31+('Master Mitigation'!E32*0.5)+'Master Mitigation'!E33</f>
        <v>0.0739146981508765</v>
      </c>
    </row>
    <row r="142" spans="1:2" ht="12.75">
      <c r="A142" t="s">
        <v>394</v>
      </c>
      <c r="B142" s="211">
        <f>'Master Mitigation'!E26+('Master Mitigation'!E32*0.5)</f>
        <v>0.002238045261450649</v>
      </c>
    </row>
    <row r="143" spans="1:2" ht="12.75">
      <c r="A143" t="s">
        <v>294</v>
      </c>
      <c r="B143" s="110">
        <f>1-SUM(B138:B142)</f>
        <v>0.7418969666219467</v>
      </c>
    </row>
    <row r="146" ht="12.75">
      <c r="A146" s="2">
        <f>SUM(B138:B142)</f>
        <v>0.2581030333780533</v>
      </c>
    </row>
    <row r="147" spans="1:2" ht="12.75">
      <c r="A147" t="s">
        <v>92</v>
      </c>
      <c r="B147" s="2">
        <f>B138/A146</f>
        <v>0.5097887621225773</v>
      </c>
    </row>
    <row r="148" spans="1:2" ht="12.75">
      <c r="A148" t="s">
        <v>393</v>
      </c>
      <c r="B148" s="2">
        <f>B139/A146</f>
        <v>0.14698695189309996</v>
      </c>
    </row>
    <row r="149" spans="1:2" ht="12.75">
      <c r="A149" t="s">
        <v>94</v>
      </c>
      <c r="B149" s="2">
        <f>B140/A146</f>
        <v>0.04817644243270007</v>
      </c>
    </row>
    <row r="150" spans="1:2" ht="12.75">
      <c r="A150" t="s">
        <v>90</v>
      </c>
      <c r="B150" s="2">
        <f>B141/A146</f>
        <v>0.28637671236746315</v>
      </c>
    </row>
    <row r="151" spans="1:2" ht="12.75">
      <c r="A151" t="s">
        <v>394</v>
      </c>
      <c r="B151" s="2">
        <f>B142/A146</f>
        <v>0.008671131184159696</v>
      </c>
    </row>
    <row r="163" ht="12.75">
      <c r="A163" s="152" t="s">
        <v>459</v>
      </c>
    </row>
    <row r="164" spans="1:6" ht="21" customHeight="1">
      <c r="A164" s="42"/>
      <c r="B164" s="535" t="s">
        <v>41</v>
      </c>
      <c r="C164" s="536"/>
      <c r="D164" s="537" t="s">
        <v>42</v>
      </c>
      <c r="E164" s="538"/>
      <c r="F164" s="323"/>
    </row>
    <row r="165" spans="1:10" ht="19.5" customHeight="1">
      <c r="A165" s="42"/>
      <c r="B165" s="242" t="s">
        <v>59</v>
      </c>
      <c r="C165" s="242" t="s">
        <v>43</v>
      </c>
      <c r="D165" s="242" t="s">
        <v>59</v>
      </c>
      <c r="E165" s="242" t="s">
        <v>43</v>
      </c>
      <c r="H165" s="294"/>
      <c r="I165" s="445"/>
      <c r="J165" s="82"/>
    </row>
    <row r="166" spans="1:10" ht="15.75">
      <c r="A166" s="277" t="s">
        <v>37</v>
      </c>
      <c r="B166" s="246">
        <f>1480+4720-182</f>
        <v>6018</v>
      </c>
      <c r="C166" s="247">
        <f>0.173+0.553-0.021</f>
        <v>0.705</v>
      </c>
      <c r="D166" s="243">
        <f>'Master Mitigation'!D6</f>
        <v>1457.6282582014992</v>
      </c>
      <c r="E166" s="244">
        <f>'Master Mitigation'!E6</f>
        <v>0.17060255831010057</v>
      </c>
      <c r="H166" s="294"/>
      <c r="I166" s="446"/>
      <c r="J166" s="82"/>
    </row>
    <row r="167" spans="1:10" ht="15.75">
      <c r="A167" s="277" t="s">
        <v>38</v>
      </c>
      <c r="B167" s="246">
        <v>2310</v>
      </c>
      <c r="C167" s="247">
        <v>0.271</v>
      </c>
      <c r="D167" s="243">
        <f>'Master Mitigation'!D22</f>
        <v>650.6490397149232</v>
      </c>
      <c r="E167" s="244">
        <f>'Master Mitigation'!E22</f>
        <v>0.07615274341232715</v>
      </c>
      <c r="H167" s="294"/>
      <c r="I167" s="446"/>
      <c r="J167" s="82"/>
    </row>
    <row r="168" spans="1:10" ht="15.75">
      <c r="A168" s="277" t="s">
        <v>558</v>
      </c>
      <c r="B168" s="246">
        <f>34+182</f>
        <v>216</v>
      </c>
      <c r="C168" s="247">
        <v>0.025</v>
      </c>
      <c r="D168" s="245">
        <f>'Master Mitigation'!D35</f>
        <v>57.96587978932176</v>
      </c>
      <c r="E168" s="244">
        <f>'Master Mitigation'!E35</f>
        <v>0.0067843960427576965</v>
      </c>
      <c r="H168" s="294"/>
      <c r="I168" s="446"/>
      <c r="J168" s="82"/>
    </row>
    <row r="169" spans="1:10" ht="15.75">
      <c r="A169" s="277" t="s">
        <v>40</v>
      </c>
      <c r="B169" s="246">
        <f>'Master Mitigation'!B40</f>
        <v>8544</v>
      </c>
      <c r="C169" s="247">
        <f>'Master Mitigation'!C40</f>
        <v>1.001</v>
      </c>
      <c r="D169" s="243">
        <f>'Master Mitigation'!D40</f>
        <v>2166.243177705744</v>
      </c>
      <c r="E169" s="319">
        <f>'Master Mitigation'!E40</f>
        <v>0.2535396977651854</v>
      </c>
      <c r="H169" s="294"/>
      <c r="I169" s="285"/>
      <c r="J169" s="82"/>
    </row>
    <row r="173" ht="12.75">
      <c r="A173" s="152" t="s">
        <v>472</v>
      </c>
    </row>
    <row r="175" spans="1:2" ht="12.75">
      <c r="A175" t="s">
        <v>64</v>
      </c>
      <c r="B175" s="211">
        <f>'Master Mitigation'!G40</f>
        <v>0.12430974403012883</v>
      </c>
    </row>
    <row r="176" spans="1:2" ht="12.75">
      <c r="A176" t="s">
        <v>300</v>
      </c>
      <c r="B176" s="125">
        <f>'Master Mitigation'!H40</f>
        <v>0.12914237162697645</v>
      </c>
    </row>
    <row r="177" ht="12.75">
      <c r="B177" s="125">
        <f>SUM(B175:B176)</f>
        <v>0.2534521156571053</v>
      </c>
    </row>
    <row r="179" spans="1:2" ht="12.75">
      <c r="A179" t="s">
        <v>64</v>
      </c>
      <c r="B179" s="279">
        <f>B175/B177</f>
        <v>0.4904663893131875</v>
      </c>
    </row>
    <row r="180" spans="1:2" ht="12.75">
      <c r="A180" t="s">
        <v>553</v>
      </c>
      <c r="B180" s="279">
        <f>B176/B177</f>
        <v>0.5095336106868125</v>
      </c>
    </row>
    <row r="204" spans="1:5" ht="12.75">
      <c r="A204" s="48" t="s">
        <v>64</v>
      </c>
      <c r="B204" s="307">
        <f>'Boston GHG Inventory'!R14</f>
        <v>0.17537020517085095</v>
      </c>
      <c r="C204" s="304"/>
      <c r="D204" s="304"/>
      <c r="E204" s="305"/>
    </row>
    <row r="205" spans="1:5" ht="12.75">
      <c r="A205" s="49" t="s">
        <v>515</v>
      </c>
      <c r="B205" s="308">
        <f>'Boston GHG Inventory'!R15</f>
        <v>0.5537198260524375</v>
      </c>
      <c r="C205" s="306"/>
      <c r="D205" s="306"/>
      <c r="E205" s="305"/>
    </row>
    <row r="206" spans="1:5" ht="12.75">
      <c r="A206" s="49" t="s">
        <v>38</v>
      </c>
      <c r="B206" s="308">
        <f>'Boston GHG Inventory'!R16</f>
        <v>0.26696438885861484</v>
      </c>
      <c r="C206" s="306"/>
      <c r="D206" s="306"/>
      <c r="E206" s="305"/>
    </row>
    <row r="223" spans="1:3" ht="12.75">
      <c r="A223" s="4" t="s">
        <v>555</v>
      </c>
      <c r="B223" s="126" t="s">
        <v>557</v>
      </c>
      <c r="C223" s="126" t="s">
        <v>556</v>
      </c>
    </row>
    <row r="224" spans="1:3" ht="12.75">
      <c r="A224" s="48" t="s">
        <v>102</v>
      </c>
      <c r="B224" s="320">
        <v>3316479</v>
      </c>
      <c r="C224" s="95">
        <f>B224/B231</f>
        <v>0.3842779555147799</v>
      </c>
    </row>
    <row r="225" spans="1:3" ht="12.75">
      <c r="A225" s="49" t="s">
        <v>93</v>
      </c>
      <c r="B225" s="321">
        <v>1987418</v>
      </c>
      <c r="C225" s="95">
        <f>B225/B231</f>
        <v>0.2302806457671744</v>
      </c>
    </row>
    <row r="226" spans="1:3" ht="12.75">
      <c r="A226" s="49" t="s">
        <v>90</v>
      </c>
      <c r="B226" s="321">
        <v>1650353</v>
      </c>
      <c r="C226" s="95">
        <f>B226/B231</f>
        <v>0.19122517486698498</v>
      </c>
    </row>
    <row r="227" spans="1:3" ht="12.75">
      <c r="A227" s="49" t="s">
        <v>94</v>
      </c>
      <c r="B227" s="321">
        <v>833513</v>
      </c>
      <c r="C227" s="95">
        <f>B227/B231</f>
        <v>0.0965785314892664</v>
      </c>
    </row>
    <row r="228" spans="1:3" ht="12.75">
      <c r="A228" s="49" t="s">
        <v>91</v>
      </c>
      <c r="B228" s="321">
        <v>406868</v>
      </c>
      <c r="C228" s="95">
        <f>B228/B231</f>
        <v>0.04714349260296461</v>
      </c>
    </row>
    <row r="229" spans="1:3" ht="12.75">
      <c r="A229" s="49" t="s">
        <v>103</v>
      </c>
      <c r="B229" s="321">
        <v>257330</v>
      </c>
      <c r="C229" s="95">
        <f>B229/B231</f>
        <v>0.029816635743093293</v>
      </c>
    </row>
    <row r="230" spans="1:3" ht="12.75">
      <c r="A230" s="56" t="s">
        <v>96</v>
      </c>
      <c r="B230" s="322">
        <v>178456</v>
      </c>
      <c r="C230" s="95">
        <f>B230/B231</f>
        <v>0.020677564015736435</v>
      </c>
    </row>
    <row r="231" spans="2:3" ht="12.75">
      <c r="B231" s="219">
        <v>8630417</v>
      </c>
      <c r="C231" s="95">
        <v>1</v>
      </c>
    </row>
  </sheetData>
  <sheetProtection/>
  <mergeCells count="2">
    <mergeCell ref="B164:C164"/>
    <mergeCell ref="D164:E16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X47"/>
  <sheetViews>
    <sheetView zoomScalePageLayoutView="0" workbookViewId="0" topLeftCell="I1">
      <selection activeCell="T22" sqref="T22"/>
    </sheetView>
  </sheetViews>
  <sheetFormatPr defaultColWidth="9.140625" defaultRowHeight="12.75"/>
  <cols>
    <col min="1" max="1" width="15.57421875" style="0" customWidth="1"/>
    <col min="2" max="2" width="16.00390625" style="0" customWidth="1"/>
    <col min="3" max="3" width="14.421875" style="0" customWidth="1"/>
    <col min="4" max="4" width="7.57421875" style="0" hidden="1" customWidth="1"/>
    <col min="5" max="5" width="14.140625" style="0" customWidth="1"/>
    <col min="6" max="6" width="8.00390625" style="0" hidden="1" customWidth="1"/>
    <col min="7" max="7" width="14.57421875" style="0" customWidth="1"/>
    <col min="8" max="8" width="8.421875" style="0" hidden="1" customWidth="1"/>
    <col min="9" max="9" width="14.00390625" style="0" customWidth="1"/>
    <col min="10" max="10" width="8.28125" style="0" hidden="1" customWidth="1"/>
    <col min="11" max="11" width="14.140625" style="0" customWidth="1"/>
    <col min="12" max="12" width="10.28125" style="0" hidden="1" customWidth="1"/>
    <col min="14" max="14" width="14.7109375" style="0" customWidth="1"/>
    <col min="15" max="15" width="11.00390625" style="0" customWidth="1"/>
    <col min="17" max="17" width="12.8515625" style="0" customWidth="1"/>
    <col min="18" max="18" width="12.28125" style="0" customWidth="1"/>
    <col min="19" max="19" width="9.00390625" style="0" customWidth="1"/>
    <col min="20" max="20" width="15.7109375" style="0" customWidth="1"/>
    <col min="21" max="21" width="12.00390625" style="0" customWidth="1"/>
  </cols>
  <sheetData>
    <row r="1" spans="1:9" ht="18">
      <c r="A1" s="3" t="s">
        <v>61</v>
      </c>
      <c r="B1" s="9"/>
      <c r="D1" s="9"/>
      <c r="I1" t="s">
        <v>109</v>
      </c>
    </row>
    <row r="2" spans="1:13" ht="12.75">
      <c r="A2" s="9" t="s">
        <v>105</v>
      </c>
      <c r="B2" s="9"/>
      <c r="D2" s="9"/>
      <c r="I2" s="39" t="s">
        <v>62</v>
      </c>
      <c r="K2" s="40"/>
      <c r="L2" s="41"/>
      <c r="M2" s="42"/>
    </row>
    <row r="3" spans="2:24" s="43" customFormat="1" ht="25.5">
      <c r="B3" s="44">
        <v>1990</v>
      </c>
      <c r="C3" s="44">
        <v>2004</v>
      </c>
      <c r="D3" s="44" t="s">
        <v>100</v>
      </c>
      <c r="E3" s="44">
        <v>2005</v>
      </c>
      <c r="F3" s="44" t="s">
        <v>100</v>
      </c>
      <c r="G3" s="44">
        <v>2006</v>
      </c>
      <c r="H3" s="44" t="s">
        <v>100</v>
      </c>
      <c r="I3" s="44">
        <v>2007</v>
      </c>
      <c r="J3" s="44" t="s">
        <v>100</v>
      </c>
      <c r="K3" s="44">
        <v>2008</v>
      </c>
      <c r="L3" s="44" t="s">
        <v>100</v>
      </c>
      <c r="N3" s="457" t="s">
        <v>607</v>
      </c>
      <c r="O3" s="458"/>
      <c r="P3" s="458"/>
      <c r="Q3" s="458"/>
      <c r="R3" s="458"/>
      <c r="T3" s="521" t="s">
        <v>635</v>
      </c>
      <c r="U3" s="522"/>
      <c r="V3" s="522"/>
      <c r="W3" s="522"/>
      <c r="X3" s="522"/>
    </row>
    <row r="4" spans="1:21" ht="12.75">
      <c r="A4" s="14" t="s">
        <v>64</v>
      </c>
      <c r="B4" s="14"/>
      <c r="C4" s="21"/>
      <c r="D4" s="21"/>
      <c r="N4" s="40"/>
      <c r="O4" s="40">
        <v>2007</v>
      </c>
      <c r="P4" s="40"/>
      <c r="Q4" s="246">
        <v>2008</v>
      </c>
      <c r="R4" s="418"/>
      <c r="T4" s="453" t="s">
        <v>64</v>
      </c>
      <c r="U4" s="453" t="s">
        <v>300</v>
      </c>
    </row>
    <row r="5" spans="1:22" ht="12.75">
      <c r="A5" s="9" t="s">
        <v>92</v>
      </c>
      <c r="B5" s="45">
        <f>'[1]Summary-Fuel'!B5*1.144/2000</f>
        <v>591856.51954</v>
      </c>
      <c r="C5" s="16">
        <v>554364</v>
      </c>
      <c r="D5" s="46">
        <f aca="true" t="shared" si="0" ref="D5:D11">C5/$C$41</f>
        <v>0.06830104531780344</v>
      </c>
      <c r="E5" s="47">
        <v>601774</v>
      </c>
      <c r="F5" s="46">
        <f aca="true" t="shared" si="1" ref="F5:F10">E5/$E$41</f>
        <v>0.07140206951549265</v>
      </c>
      <c r="G5" s="47">
        <v>507886</v>
      </c>
      <c r="H5" s="46">
        <f aca="true" t="shared" si="2" ref="H5:H10">G5/$G$41</f>
        <v>0.06308677347286423</v>
      </c>
      <c r="I5" s="47">
        <v>571095</v>
      </c>
      <c r="J5" s="46">
        <f aca="true" t="shared" si="3" ref="J5:J10">I5/$I$41</f>
        <v>0.06685014818715818</v>
      </c>
      <c r="K5" s="47">
        <v>569011</v>
      </c>
      <c r="L5" s="46">
        <f>K5/$K$41</f>
        <v>0.0659308814394484</v>
      </c>
      <c r="N5" s="459" t="s">
        <v>102</v>
      </c>
      <c r="O5" s="460">
        <f>I5+I13+I25+I33</f>
        <v>3320928</v>
      </c>
      <c r="P5" s="461"/>
      <c r="Q5" s="460">
        <f>K5+K13+K25+K33</f>
        <v>3316479</v>
      </c>
      <c r="R5" s="462">
        <f aca="true" t="shared" si="4" ref="R5:R12">+Q5/Q$12</f>
        <v>0.3842779555147799</v>
      </c>
      <c r="T5" s="523">
        <f>K5/Q5</f>
        <v>0.1715708135043219</v>
      </c>
      <c r="U5" s="523">
        <f>(K13+K25+K33)/Q5</f>
        <v>0.8284291864956781</v>
      </c>
      <c r="V5" s="303" t="s">
        <v>642</v>
      </c>
    </row>
    <row r="6" spans="1:22" ht="12.75">
      <c r="A6" s="9" t="s">
        <v>93</v>
      </c>
      <c r="B6" s="8"/>
      <c r="C6" s="16">
        <v>318432</v>
      </c>
      <c r="D6" s="46">
        <f t="shared" si="0"/>
        <v>0.039232775690049834</v>
      </c>
      <c r="E6" s="47">
        <v>342629</v>
      </c>
      <c r="F6" s="46">
        <f t="shared" si="1"/>
        <v>0.040653832960586084</v>
      </c>
      <c r="G6" s="47">
        <v>348365</v>
      </c>
      <c r="H6" s="46">
        <f t="shared" si="2"/>
        <v>0.043271962292471836</v>
      </c>
      <c r="I6" s="47">
        <v>436522</v>
      </c>
      <c r="J6" s="46">
        <f t="shared" si="3"/>
        <v>0.0510975588771652</v>
      </c>
      <c r="K6" s="47">
        <v>472748</v>
      </c>
      <c r="L6" s="46">
        <f aca="true" t="shared" si="5" ref="L6:L39">K6/$K$41</f>
        <v>0.05477695921297893</v>
      </c>
      <c r="N6" s="459" t="s">
        <v>93</v>
      </c>
      <c r="O6" s="460">
        <f>I6+I14+I27+I34+I38</f>
        <v>1890600</v>
      </c>
      <c r="P6" s="460"/>
      <c r="Q6" s="460">
        <f>K6+K14+K27+K34+K38</f>
        <v>1987418</v>
      </c>
      <c r="R6" s="462">
        <f t="shared" si="4"/>
        <v>0.2302806457671744</v>
      </c>
      <c r="T6" s="523">
        <f>K6/Q6</f>
        <v>0.23787044295664023</v>
      </c>
      <c r="U6" s="523">
        <f>(K14+K27+K34)/Q6</f>
        <v>0.7621275443817053</v>
      </c>
      <c r="V6" s="303" t="s">
        <v>643</v>
      </c>
    </row>
    <row r="7" spans="1:22" ht="12.75">
      <c r="A7" t="s">
        <v>94</v>
      </c>
      <c r="C7" s="47">
        <v>580355</v>
      </c>
      <c r="D7" s="46">
        <f t="shared" si="0"/>
        <v>0.07150329594889607</v>
      </c>
      <c r="E7" s="47">
        <v>420378</v>
      </c>
      <c r="F7" s="46">
        <f t="shared" si="1"/>
        <v>0.04987895651653905</v>
      </c>
      <c r="G7" s="47">
        <v>425994</v>
      </c>
      <c r="H7" s="46">
        <f t="shared" si="2"/>
        <v>0.052914604810527024</v>
      </c>
      <c r="I7" s="47">
        <v>397403</v>
      </c>
      <c r="J7" s="46">
        <f t="shared" si="3"/>
        <v>0.04651844166035637</v>
      </c>
      <c r="K7" s="50">
        <v>397403</v>
      </c>
      <c r="L7" s="46">
        <f t="shared" si="5"/>
        <v>0.04604679009137102</v>
      </c>
      <c r="N7" s="459" t="s">
        <v>94</v>
      </c>
      <c r="O7" s="460">
        <f>I7+I15+I35</f>
        <v>829613</v>
      </c>
      <c r="P7" s="460"/>
      <c r="Q7" s="460">
        <f>K7+K15+K35</f>
        <v>833513</v>
      </c>
      <c r="R7" s="462">
        <f t="shared" si="4"/>
        <v>0.0965785314892664</v>
      </c>
      <c r="T7" s="523">
        <f>K7/Q7</f>
        <v>0.4767808060582138</v>
      </c>
      <c r="U7" s="523">
        <f>(K15+K35)/Q7</f>
        <v>0.5232191939417862</v>
      </c>
      <c r="V7" s="303" t="s">
        <v>644</v>
      </c>
    </row>
    <row r="8" spans="1:22" ht="12.75">
      <c r="A8" s="9" t="s">
        <v>95</v>
      </c>
      <c r="B8" s="9"/>
      <c r="C8" s="16">
        <v>42792</v>
      </c>
      <c r="D8" s="46">
        <f t="shared" si="0"/>
        <v>0.005272236889912485</v>
      </c>
      <c r="E8" s="47">
        <v>43529</v>
      </c>
      <c r="F8" s="46">
        <f t="shared" si="1"/>
        <v>0.005164830457846101</v>
      </c>
      <c r="G8" s="47">
        <v>31432</v>
      </c>
      <c r="H8" s="46">
        <f t="shared" si="2"/>
        <v>0.003904308178998966</v>
      </c>
      <c r="I8" s="47">
        <v>28306</v>
      </c>
      <c r="J8" s="46">
        <f t="shared" si="3"/>
        <v>0.0033133897067662986</v>
      </c>
      <c r="K8" s="50">
        <v>28306</v>
      </c>
      <c r="L8" s="46">
        <f t="shared" si="5"/>
        <v>0.0032797951709633497</v>
      </c>
      <c r="N8" s="459" t="s">
        <v>96</v>
      </c>
      <c r="O8" s="460">
        <f>I9+I17</f>
        <v>181707</v>
      </c>
      <c r="P8" s="460"/>
      <c r="Q8" s="460">
        <f>K9+K17</f>
        <v>178456</v>
      </c>
      <c r="R8" s="462">
        <f t="shared" si="4"/>
        <v>0.020677564015736435</v>
      </c>
      <c r="T8" s="524">
        <f>SUM(T5:T6)</f>
        <v>0.40944125646096213</v>
      </c>
      <c r="U8" s="524">
        <f>SUM(U5:U6)</f>
        <v>1.5905567308773834</v>
      </c>
      <c r="V8" s="280">
        <f>SUM(T8:U8)</f>
        <v>1.9999979873383456</v>
      </c>
    </row>
    <row r="9" spans="1:22" ht="12.75">
      <c r="A9" s="51" t="s">
        <v>96</v>
      </c>
      <c r="B9" s="51"/>
      <c r="C9" s="52">
        <v>53402</v>
      </c>
      <c r="D9" s="53">
        <f t="shared" si="0"/>
        <v>0.006579453972590825</v>
      </c>
      <c r="E9" s="54">
        <v>51777</v>
      </c>
      <c r="F9" s="53">
        <f t="shared" si="1"/>
        <v>0.006143477374070104</v>
      </c>
      <c r="G9" s="54">
        <v>51116</v>
      </c>
      <c r="H9" s="53">
        <f t="shared" si="2"/>
        <v>0.006349345153910382</v>
      </c>
      <c r="I9" s="54">
        <v>49301</v>
      </c>
      <c r="J9" s="53">
        <f t="shared" si="3"/>
        <v>0.005770982333543605</v>
      </c>
      <c r="K9" s="54">
        <v>46050</v>
      </c>
      <c r="L9" s="53">
        <f t="shared" si="5"/>
        <v>0.0053357792560892485</v>
      </c>
      <c r="N9" s="459" t="s">
        <v>90</v>
      </c>
      <c r="O9" s="460">
        <f>I22+I36+I28</f>
        <v>1656718</v>
      </c>
      <c r="P9" s="460"/>
      <c r="Q9" s="460">
        <f>K22+K36+K28</f>
        <v>1650353</v>
      </c>
      <c r="R9" s="462">
        <f t="shared" si="4"/>
        <v>0.19122517486698498</v>
      </c>
      <c r="T9" s="525">
        <f>T8/V8</f>
        <v>0.20472083424736753</v>
      </c>
      <c r="U9" s="526">
        <f>U8/V8</f>
        <v>0.7952791657526325</v>
      </c>
      <c r="V9" s="4" t="s">
        <v>645</v>
      </c>
    </row>
    <row r="10" spans="1:18" ht="12.75">
      <c r="A10" t="s">
        <v>40</v>
      </c>
      <c r="B10" s="47">
        <f>SUM(B5:B9)</f>
        <v>591856.51954</v>
      </c>
      <c r="C10" s="47">
        <f>SUM(C5:C9)</f>
        <v>1549345</v>
      </c>
      <c r="D10" s="46">
        <f t="shared" si="0"/>
        <v>0.19088880781925266</v>
      </c>
      <c r="E10" s="47">
        <f>SUM(E5:E9)</f>
        <v>1460087</v>
      </c>
      <c r="F10" s="46">
        <f t="shared" si="1"/>
        <v>0.173243166824534</v>
      </c>
      <c r="G10" s="47">
        <f>SUM(G5:G9)</f>
        <v>1364793</v>
      </c>
      <c r="H10" s="46">
        <f t="shared" si="2"/>
        <v>0.16952699390877243</v>
      </c>
      <c r="I10" s="47">
        <f>SUM(I5:I9)</f>
        <v>1482627</v>
      </c>
      <c r="J10" s="46">
        <f t="shared" si="3"/>
        <v>0.17355052076498964</v>
      </c>
      <c r="K10" s="47">
        <f>SUM(K5:K9)</f>
        <v>1513518</v>
      </c>
      <c r="L10" s="46">
        <f t="shared" si="5"/>
        <v>0.17537020517085095</v>
      </c>
      <c r="N10" s="459" t="s">
        <v>91</v>
      </c>
      <c r="O10" s="460">
        <f>I23+I26+I37</f>
        <v>406017</v>
      </c>
      <c r="P10" s="460"/>
      <c r="Q10" s="460">
        <f>K23+K26+K37</f>
        <v>406868</v>
      </c>
      <c r="R10" s="462">
        <f t="shared" si="4"/>
        <v>0.04714349260296461</v>
      </c>
    </row>
    <row r="11" spans="3:20" ht="12.75">
      <c r="C11" s="55"/>
      <c r="D11" s="47">
        <f t="shared" si="0"/>
        <v>0</v>
      </c>
      <c r="E11" s="47"/>
      <c r="F11" s="47"/>
      <c r="G11" s="47"/>
      <c r="H11" s="47"/>
      <c r="I11" s="47"/>
      <c r="J11" s="47"/>
      <c r="K11" s="47"/>
      <c r="L11" s="46"/>
      <c r="N11" s="459" t="s">
        <v>103</v>
      </c>
      <c r="O11" s="460">
        <f>I8+I16</f>
        <v>257330</v>
      </c>
      <c r="P11" s="460"/>
      <c r="Q11" s="460">
        <f>K8+K16</f>
        <v>257330</v>
      </c>
      <c r="R11" s="462">
        <f t="shared" si="4"/>
        <v>0.029816635743093293</v>
      </c>
      <c r="T11" s="303"/>
    </row>
    <row r="12" spans="1:21" ht="12.75">
      <c r="A12" s="14" t="s">
        <v>70</v>
      </c>
      <c r="B12" s="14"/>
      <c r="C12" s="21"/>
      <c r="D12" s="21"/>
      <c r="E12" s="47"/>
      <c r="F12" s="47"/>
      <c r="G12" s="47"/>
      <c r="H12" s="47"/>
      <c r="I12" s="47"/>
      <c r="J12" s="47"/>
      <c r="K12" s="47"/>
      <c r="L12" s="46"/>
      <c r="N12" s="453"/>
      <c r="O12" s="64">
        <f>SUM(O5:O11)</f>
        <v>8542913</v>
      </c>
      <c r="P12" s="64"/>
      <c r="Q12" s="455">
        <f>SUM(Q5:Q11)</f>
        <v>8630417</v>
      </c>
      <c r="R12" s="454">
        <f t="shared" si="4"/>
        <v>1</v>
      </c>
      <c r="T12" s="527">
        <f>K5/O12</f>
        <v>0.06660620329388817</v>
      </c>
      <c r="U12" s="303" t="s">
        <v>636</v>
      </c>
    </row>
    <row r="13" spans="1:21" ht="12.75">
      <c r="A13" s="9" t="s">
        <v>92</v>
      </c>
      <c r="B13" s="16">
        <f>'[1]Summary-Fuel'!B12*1.144/2000</f>
        <v>2462135.0244919998</v>
      </c>
      <c r="C13" s="16">
        <v>2349047</v>
      </c>
      <c r="D13" s="46">
        <f aca="true" t="shared" si="6" ref="D13:D18">C13/$C$41</f>
        <v>0.2894169996620456</v>
      </c>
      <c r="E13" s="47">
        <v>2494376</v>
      </c>
      <c r="F13" s="46">
        <f aca="true" t="shared" si="7" ref="F13:F18">E13/$E$41</f>
        <v>0.29596427986216833</v>
      </c>
      <c r="G13" s="47">
        <v>2210410</v>
      </c>
      <c r="H13" s="46">
        <f aca="true" t="shared" si="8" ref="H13:H39">G13/$G$41</f>
        <v>0.2745648333526694</v>
      </c>
      <c r="I13" s="47">
        <v>2527531</v>
      </c>
      <c r="J13" s="46">
        <f aca="true" t="shared" si="9" ref="J13:J18">I13/$I$41</f>
        <v>0.2958628982877386</v>
      </c>
      <c r="K13" s="47">
        <v>2525166</v>
      </c>
      <c r="L13" s="46">
        <f t="shared" si="5"/>
        <v>0.2925891066445573</v>
      </c>
      <c r="N13" s="453"/>
      <c r="O13" s="40"/>
      <c r="P13" s="40"/>
      <c r="Q13" s="418"/>
      <c r="R13" s="454"/>
      <c r="T13" s="527">
        <f>(+K6+K7)/K41</f>
        <v>0.10082374930434995</v>
      </c>
      <c r="U13" s="303" t="s">
        <v>637</v>
      </c>
    </row>
    <row r="14" spans="1:21" ht="12.75">
      <c r="A14" s="9" t="s">
        <v>93</v>
      </c>
      <c r="B14" s="9"/>
      <c r="C14" s="16">
        <v>1082643</v>
      </c>
      <c r="D14" s="46">
        <f t="shared" si="6"/>
        <v>0.13338825862790996</v>
      </c>
      <c r="E14" s="47">
        <v>1207655</v>
      </c>
      <c r="F14" s="46">
        <f t="shared" si="7"/>
        <v>0.14329144539433789</v>
      </c>
      <c r="G14" s="47">
        <v>1332152</v>
      </c>
      <c r="H14" s="46">
        <f t="shared" si="8"/>
        <v>0.16547251047562453</v>
      </c>
      <c r="I14" s="47">
        <v>1401415</v>
      </c>
      <c r="J14" s="46">
        <f t="shared" si="9"/>
        <v>0.1640441615172717</v>
      </c>
      <c r="K14" s="50">
        <v>1462007</v>
      </c>
      <c r="L14" s="46">
        <f t="shared" si="5"/>
        <v>0.16940166390569542</v>
      </c>
      <c r="N14" s="463" t="s">
        <v>64</v>
      </c>
      <c r="O14" s="464">
        <f>I10</f>
        <v>1482627</v>
      </c>
      <c r="P14" s="464"/>
      <c r="Q14" s="464">
        <f>K10</f>
        <v>1513518</v>
      </c>
      <c r="R14" s="465">
        <f>+Q14/Q$18</f>
        <v>0.17537020517085095</v>
      </c>
      <c r="T14" s="528">
        <f>+K10/K41</f>
        <v>0.17537020517085095</v>
      </c>
      <c r="U14" s="303" t="s">
        <v>638</v>
      </c>
    </row>
    <row r="15" spans="1:21" ht="12.75">
      <c r="A15" t="s">
        <v>94</v>
      </c>
      <c r="C15" s="16">
        <v>414633</v>
      </c>
      <c r="D15" s="46">
        <f t="shared" si="6"/>
        <v>0.051085328995491765</v>
      </c>
      <c r="E15" s="47">
        <v>418532</v>
      </c>
      <c r="F15" s="46">
        <f t="shared" si="7"/>
        <v>0.049659923756191146</v>
      </c>
      <c r="G15" s="47">
        <v>422431</v>
      </c>
      <c r="H15" s="46">
        <f t="shared" si="8"/>
        <v>0.05247202877203844</v>
      </c>
      <c r="I15" s="47">
        <v>426330</v>
      </c>
      <c r="J15" s="46">
        <f t="shared" si="9"/>
        <v>0.049904523199522224</v>
      </c>
      <c r="K15" s="47">
        <v>430230</v>
      </c>
      <c r="L15" s="46">
        <f t="shared" si="5"/>
        <v>0.04985043017040776</v>
      </c>
      <c r="N15" s="463" t="s">
        <v>104</v>
      </c>
      <c r="O15" s="464">
        <f>I18</f>
        <v>4716706</v>
      </c>
      <c r="P15" s="464"/>
      <c r="Q15" s="464">
        <f>K18</f>
        <v>4778833</v>
      </c>
      <c r="R15" s="465">
        <f>+Q15/Q$18</f>
        <v>0.5537198260524375</v>
      </c>
      <c r="T15" s="305">
        <f>+K22/K41</f>
        <v>0.190579551370461</v>
      </c>
      <c r="U15" s="303" t="s">
        <v>639</v>
      </c>
    </row>
    <row r="16" spans="1:21" ht="12.75">
      <c r="A16" s="9" t="s">
        <v>95</v>
      </c>
      <c r="B16" s="9"/>
      <c r="C16" s="16">
        <v>346223</v>
      </c>
      <c r="D16" s="46">
        <f t="shared" si="6"/>
        <v>0.04265679736250164</v>
      </c>
      <c r="E16" s="47">
        <v>352192</v>
      </c>
      <c r="F16" s="46">
        <f t="shared" si="7"/>
        <v>0.04178850808908392</v>
      </c>
      <c r="G16" s="47">
        <v>254317</v>
      </c>
      <c r="H16" s="46">
        <f t="shared" si="8"/>
        <v>0.031589842935813184</v>
      </c>
      <c r="I16" s="47">
        <v>229024</v>
      </c>
      <c r="J16" s="46">
        <f t="shared" si="9"/>
        <v>0.026808654144084107</v>
      </c>
      <c r="K16" s="50">
        <v>229024</v>
      </c>
      <c r="L16" s="46">
        <f t="shared" si="5"/>
        <v>0.026536840572129943</v>
      </c>
      <c r="N16" s="463" t="s">
        <v>38</v>
      </c>
      <c r="O16" s="464">
        <f>I29</f>
        <v>2309528</v>
      </c>
      <c r="P16" s="464"/>
      <c r="Q16" s="464">
        <f>K29</f>
        <v>2304014</v>
      </c>
      <c r="R16" s="465">
        <f>+Q16/Q$18</f>
        <v>0.26696438885861484</v>
      </c>
      <c r="T16" s="305">
        <f>+K23/K41</f>
        <v>0.040635579949381356</v>
      </c>
      <c r="U16" s="303" t="s">
        <v>640</v>
      </c>
    </row>
    <row r="17" spans="1:21" ht="12.75">
      <c r="A17" s="58" t="s">
        <v>96</v>
      </c>
      <c r="B17" s="58"/>
      <c r="C17" s="54"/>
      <c r="D17" s="53">
        <f t="shared" si="6"/>
        <v>0</v>
      </c>
      <c r="E17" s="54">
        <v>130223</v>
      </c>
      <c r="F17" s="53">
        <f t="shared" si="7"/>
        <v>0.015451301815159843</v>
      </c>
      <c r="G17" s="54">
        <v>130915</v>
      </c>
      <c r="H17" s="53">
        <f t="shared" si="8"/>
        <v>0.016261532999925225</v>
      </c>
      <c r="I17" s="54">
        <v>132406</v>
      </c>
      <c r="J17" s="53">
        <f t="shared" si="9"/>
        <v>0.015498928761184855</v>
      </c>
      <c r="K17" s="50">
        <v>132406</v>
      </c>
      <c r="L17" s="53">
        <f t="shared" si="5"/>
        <v>0.015341784759647188</v>
      </c>
      <c r="N17" s="463" t="s">
        <v>39</v>
      </c>
      <c r="O17" s="464">
        <f>I39</f>
        <v>34052</v>
      </c>
      <c r="P17" s="464"/>
      <c r="Q17" s="464">
        <f>K39</f>
        <v>34052</v>
      </c>
      <c r="R17" s="465">
        <f>+Q17/Q$18</f>
        <v>0.003945579918096657</v>
      </c>
      <c r="T17" s="305">
        <f>SUM(T15:T16)</f>
        <v>0.23121513131984237</v>
      </c>
      <c r="U17" s="303" t="s">
        <v>641</v>
      </c>
    </row>
    <row r="18" spans="1:18" ht="12.75">
      <c r="A18" t="s">
        <v>40</v>
      </c>
      <c r="B18" s="47">
        <f>SUM(B13:B17)</f>
        <v>2462135.0244919998</v>
      </c>
      <c r="C18" s="47">
        <f>SUM(C13:C17)</f>
        <v>4192546</v>
      </c>
      <c r="D18" s="46">
        <f t="shared" si="6"/>
        <v>0.5165473846479489</v>
      </c>
      <c r="E18" s="47">
        <f>SUM(E13:E17)</f>
        <v>4602978</v>
      </c>
      <c r="F18" s="46">
        <f t="shared" si="7"/>
        <v>0.5461554589169412</v>
      </c>
      <c r="G18" s="47">
        <f>SUM(G13:G17)</f>
        <v>4350225</v>
      </c>
      <c r="H18" s="46">
        <f t="shared" si="8"/>
        <v>0.5403607485360707</v>
      </c>
      <c r="I18" s="47">
        <f>SUM(I13:I17)</f>
        <v>4716706</v>
      </c>
      <c r="J18" s="46">
        <f t="shared" si="9"/>
        <v>0.5521191659098015</v>
      </c>
      <c r="K18" s="47">
        <f>SUM(K13:K17)</f>
        <v>4778833</v>
      </c>
      <c r="L18" s="46">
        <f t="shared" si="5"/>
        <v>0.5537198260524375</v>
      </c>
      <c r="N18" s="40"/>
      <c r="O18" s="64">
        <f>SUM(O14:O17)</f>
        <v>8542913</v>
      </c>
      <c r="P18" s="64"/>
      <c r="Q18" s="455">
        <f>SUM(Q14:Q17)</f>
        <v>8630417</v>
      </c>
      <c r="R18" s="454">
        <f>+Q18/Q$18</f>
        <v>1</v>
      </c>
    </row>
    <row r="19" spans="3:18" ht="12.75">
      <c r="C19" s="47"/>
      <c r="D19" s="47"/>
      <c r="E19" s="47"/>
      <c r="F19" s="47"/>
      <c r="G19" s="47"/>
      <c r="H19" s="46"/>
      <c r="I19" s="47"/>
      <c r="J19" s="47"/>
      <c r="K19" s="47"/>
      <c r="L19" s="46"/>
      <c r="N19" s="40"/>
      <c r="O19" s="40"/>
      <c r="P19" s="40"/>
      <c r="Q19" s="418"/>
      <c r="R19" s="418"/>
    </row>
    <row r="20" spans="1:18" ht="12.75">
      <c r="A20" s="14" t="s">
        <v>38</v>
      </c>
      <c r="B20" s="14"/>
      <c r="C20" s="21"/>
      <c r="D20" s="21"/>
      <c r="E20" s="47"/>
      <c r="F20" s="47"/>
      <c r="G20" s="47"/>
      <c r="H20" s="46"/>
      <c r="I20" s="47"/>
      <c r="J20" s="47"/>
      <c r="K20" s="47"/>
      <c r="L20" s="46"/>
      <c r="N20" s="40"/>
      <c r="O20" s="40"/>
      <c r="P20" s="40"/>
      <c r="Q20" s="40"/>
      <c r="R20" s="40"/>
    </row>
    <row r="21" spans="1:18" ht="12.75">
      <c r="A21" s="82" t="s">
        <v>97</v>
      </c>
      <c r="B21" s="82"/>
      <c r="C21" s="202"/>
      <c r="D21" s="202"/>
      <c r="E21" s="202"/>
      <c r="F21" s="202"/>
      <c r="G21" s="202"/>
      <c r="H21" s="447"/>
      <c r="I21" s="202"/>
      <c r="J21" s="202"/>
      <c r="K21" s="202"/>
      <c r="L21" s="447"/>
      <c r="M21" s="82"/>
      <c r="N21" s="418" t="s">
        <v>220</v>
      </c>
      <c r="O21" s="418"/>
      <c r="P21" s="418"/>
      <c r="Q21" s="455">
        <f>K9</f>
        <v>46050</v>
      </c>
      <c r="R21" s="456">
        <f>K9/K41</f>
        <v>0.0053357792560892485</v>
      </c>
    </row>
    <row r="22" spans="1:18" ht="12.75">
      <c r="A22" s="448" t="s">
        <v>90</v>
      </c>
      <c r="B22" s="449">
        <v>1805034</v>
      </c>
      <c r="C22" s="449">
        <v>1677917</v>
      </c>
      <c r="D22" s="447">
        <f>C22/$C$41</f>
        <v>0.20672966689127145</v>
      </c>
      <c r="E22" s="202">
        <v>1667519</v>
      </c>
      <c r="F22" s="447">
        <f>E22/$E$41</f>
        <v>0.19785551977387655</v>
      </c>
      <c r="G22" s="202">
        <v>1658688</v>
      </c>
      <c r="H22" s="447">
        <f t="shared" si="8"/>
        <v>0.20603299582614648</v>
      </c>
      <c r="I22" s="171">
        <v>1651146</v>
      </c>
      <c r="J22" s="450">
        <f>I22/$I$41</f>
        <v>0.19327669613397677</v>
      </c>
      <c r="K22" s="171">
        <v>1644781</v>
      </c>
      <c r="L22" s="447">
        <f t="shared" si="5"/>
        <v>0.190579551370461</v>
      </c>
      <c r="N22" s="418" t="s">
        <v>221</v>
      </c>
      <c r="O22" s="418"/>
      <c r="P22" s="418"/>
      <c r="Q22" s="455">
        <f>K17</f>
        <v>132406</v>
      </c>
      <c r="R22" s="456">
        <f>K17/K41</f>
        <v>0.015341784759647188</v>
      </c>
    </row>
    <row r="23" spans="1:18" ht="12.75">
      <c r="A23" s="448" t="s">
        <v>91</v>
      </c>
      <c r="B23" s="449">
        <v>275969</v>
      </c>
      <c r="C23" s="449">
        <v>348094</v>
      </c>
      <c r="D23" s="447">
        <f>C23/$C$41</f>
        <v>0.04288731603938112</v>
      </c>
      <c r="E23" s="202">
        <v>348802</v>
      </c>
      <c r="F23" s="447">
        <f>E23/$E$41</f>
        <v>0.04138627566352629</v>
      </c>
      <c r="G23" s="202">
        <v>349531</v>
      </c>
      <c r="H23" s="447">
        <f t="shared" si="8"/>
        <v>0.04341679632583633</v>
      </c>
      <c r="I23" s="171">
        <v>349851</v>
      </c>
      <c r="J23" s="450">
        <f>I23/$I$41</f>
        <v>0.04095219042965789</v>
      </c>
      <c r="K23" s="171">
        <v>350702</v>
      </c>
      <c r="L23" s="447">
        <f t="shared" si="5"/>
        <v>0.040635579949381356</v>
      </c>
      <c r="N23" s="82"/>
      <c r="O23" s="82"/>
      <c r="P23" s="82"/>
      <c r="Q23" s="82"/>
      <c r="R23" s="82"/>
    </row>
    <row r="24" spans="1:18" ht="12.75">
      <c r="A24" s="451" t="s">
        <v>77</v>
      </c>
      <c r="B24" s="451"/>
      <c r="C24" s="234"/>
      <c r="D24" s="234"/>
      <c r="E24" s="202"/>
      <c r="F24" s="202"/>
      <c r="G24" s="202"/>
      <c r="H24" s="447"/>
      <c r="I24" s="202"/>
      <c r="J24" s="202"/>
      <c r="K24" s="202"/>
      <c r="L24" s="447"/>
      <c r="N24" s="82"/>
      <c r="O24" s="82"/>
      <c r="P24" s="82"/>
      <c r="Q24" s="82"/>
      <c r="R24" s="82"/>
    </row>
    <row r="25" spans="1:18" ht="12.75">
      <c r="A25" s="448" t="s">
        <v>92</v>
      </c>
      <c r="B25" s="448"/>
      <c r="C25" s="452">
        <v>204588</v>
      </c>
      <c r="D25" s="447">
        <f>C25/$C$41</f>
        <v>0.025206496560885576</v>
      </c>
      <c r="E25" s="202">
        <v>204588</v>
      </c>
      <c r="F25" s="447">
        <f>E25/$E$41</f>
        <v>0.024274904861352618</v>
      </c>
      <c r="G25" s="202">
        <v>185898</v>
      </c>
      <c r="H25" s="447">
        <f t="shared" si="8"/>
        <v>0.023091215381125914</v>
      </c>
      <c r="I25" s="202">
        <v>195871</v>
      </c>
      <c r="J25" s="447">
        <f>I25/$I$41</f>
        <v>0.022927893565110637</v>
      </c>
      <c r="K25" s="452">
        <v>195871</v>
      </c>
      <c r="L25" s="447">
        <f t="shared" si="5"/>
        <v>0.022695427115514814</v>
      </c>
      <c r="M25" s="82"/>
      <c r="N25" s="82"/>
      <c r="O25" s="82"/>
      <c r="P25" s="82"/>
      <c r="Q25" s="82"/>
      <c r="R25" s="82"/>
    </row>
    <row r="26" spans="1:12" ht="12.75">
      <c r="A26" s="59" t="s">
        <v>91</v>
      </c>
      <c r="B26" s="59"/>
      <c r="C26" s="50">
        <v>53719</v>
      </c>
      <c r="D26" s="46">
        <f>C26/$C$41</f>
        <v>0.006618510317096859</v>
      </c>
      <c r="E26" s="47">
        <v>53719</v>
      </c>
      <c r="F26" s="46">
        <f>E26/$E$41</f>
        <v>0.006373900787177163</v>
      </c>
      <c r="G26" s="47">
        <v>51420</v>
      </c>
      <c r="H26" s="46">
        <f t="shared" si="8"/>
        <v>0.006387106342712103</v>
      </c>
      <c r="I26" s="47">
        <v>55819</v>
      </c>
      <c r="J26" s="46">
        <f>I26/$I$41</f>
        <v>0.006533953933511906</v>
      </c>
      <c r="K26" s="50">
        <v>55819</v>
      </c>
      <c r="L26" s="46">
        <f t="shared" si="5"/>
        <v>0.006467706021620972</v>
      </c>
    </row>
    <row r="27" spans="1:17" ht="12.75">
      <c r="A27" s="59" t="s">
        <v>98</v>
      </c>
      <c r="B27" s="59"/>
      <c r="C27" s="50">
        <v>49944</v>
      </c>
      <c r="D27" s="46">
        <f>C27/$C$41</f>
        <v>0.006153407160913002</v>
      </c>
      <c r="E27" s="47">
        <v>49944</v>
      </c>
      <c r="F27" s="46">
        <f>E27/$E$41</f>
        <v>0.005925987097950003</v>
      </c>
      <c r="G27" s="47">
        <v>48795</v>
      </c>
      <c r="H27" s="46">
        <f t="shared" si="8"/>
        <v>0.006061043445986718</v>
      </c>
      <c r="I27" s="47">
        <v>51611</v>
      </c>
      <c r="J27" s="46">
        <f>I27/$I$41</f>
        <v>0.00604138190333906</v>
      </c>
      <c r="K27" s="50">
        <v>51611</v>
      </c>
      <c r="L27" s="46">
        <f t="shared" si="5"/>
        <v>0.005980128190793099</v>
      </c>
      <c r="O27" s="203"/>
      <c r="P27" s="211"/>
      <c r="Q27" s="213"/>
    </row>
    <row r="28" spans="1:12" ht="12.75">
      <c r="A28" s="61" t="s">
        <v>90</v>
      </c>
      <c r="B28" s="61"/>
      <c r="C28" s="50">
        <v>4986</v>
      </c>
      <c r="D28" s="53">
        <f>C28/$C$41</f>
        <v>0.0006143057845649573</v>
      </c>
      <c r="E28" s="54">
        <v>4986</v>
      </c>
      <c r="F28" s="53">
        <f>E28/$E$41</f>
        <v>0.0005916020276785743</v>
      </c>
      <c r="G28" s="54">
        <v>5001</v>
      </c>
      <c r="H28" s="53">
        <f t="shared" si="8"/>
        <v>0.0006211963986756753</v>
      </c>
      <c r="I28" s="54">
        <v>5230</v>
      </c>
      <c r="J28" s="53">
        <f>I28/$I$41</f>
        <v>0.0006122033549914415</v>
      </c>
      <c r="K28" s="50">
        <v>5230</v>
      </c>
      <c r="L28" s="53">
        <f t="shared" si="5"/>
        <v>0.000605996210843578</v>
      </c>
    </row>
    <row r="29" spans="1:17" ht="12.75">
      <c r="A29" t="s">
        <v>40</v>
      </c>
      <c r="B29" s="57">
        <f>SUM(B22:B28)</f>
        <v>2081003</v>
      </c>
      <c r="C29" s="57">
        <f>SUM(C22:C28)</f>
        <v>2339248</v>
      </c>
      <c r="D29" s="46">
        <f>C29/$C$41</f>
        <v>0.28820970275411295</v>
      </c>
      <c r="E29" s="57">
        <f>SUM(E22:E28)</f>
        <v>2329558</v>
      </c>
      <c r="F29" s="46">
        <f>E29/$E$41</f>
        <v>0.2764081902115612</v>
      </c>
      <c r="G29" s="57">
        <f>SUM(G22:G28)</f>
        <v>2299333</v>
      </c>
      <c r="H29" s="46">
        <f t="shared" si="8"/>
        <v>0.2856103537204832</v>
      </c>
      <c r="I29" s="57">
        <f>SUM(I22:I28)</f>
        <v>2309528</v>
      </c>
      <c r="J29" s="46">
        <f>I29/$I$41</f>
        <v>0.2703443193205877</v>
      </c>
      <c r="K29" s="57">
        <f>SUM(K22:K28)</f>
        <v>2304014</v>
      </c>
      <c r="L29" s="46">
        <f t="shared" si="5"/>
        <v>0.26696438885861484</v>
      </c>
      <c r="Q29" s="203"/>
    </row>
    <row r="30" spans="3:12" ht="12.75">
      <c r="C30" s="47"/>
      <c r="D30" s="47"/>
      <c r="E30" s="57"/>
      <c r="F30" s="46"/>
      <c r="G30" s="57"/>
      <c r="H30" s="46"/>
      <c r="I30" s="57"/>
      <c r="J30" s="46"/>
      <c r="K30" s="47"/>
      <c r="L30" s="46"/>
    </row>
    <row r="31" spans="1:12" ht="12.75">
      <c r="A31" s="33" t="s">
        <v>82</v>
      </c>
      <c r="B31" s="33"/>
      <c r="C31" s="34"/>
      <c r="D31" s="34"/>
      <c r="E31" s="57"/>
      <c r="F31" s="46"/>
      <c r="G31" s="57"/>
      <c r="H31" s="46"/>
      <c r="I31" s="57"/>
      <c r="J31" s="46"/>
      <c r="K31" s="47"/>
      <c r="L31" s="46"/>
    </row>
    <row r="32" spans="1:12" ht="12.75">
      <c r="A32" s="62" t="s">
        <v>83</v>
      </c>
      <c r="B32" s="62"/>
      <c r="C32" s="63"/>
      <c r="D32" s="63"/>
      <c r="E32" s="57"/>
      <c r="F32" s="46"/>
      <c r="G32" s="57"/>
      <c r="H32" s="46"/>
      <c r="I32" s="57"/>
      <c r="J32" s="46"/>
      <c r="K32" s="47"/>
      <c r="L32" s="46"/>
    </row>
    <row r="33" spans="1:12" ht="12.75">
      <c r="A33" s="8" t="s">
        <v>92</v>
      </c>
      <c r="B33" s="8"/>
      <c r="C33" s="64">
        <v>24595</v>
      </c>
      <c r="D33" s="46">
        <f aca="true" t="shared" si="10" ref="D33:D39">C33/$C$41</f>
        <v>0.0030302548679051592</v>
      </c>
      <c r="E33" s="57">
        <v>24595</v>
      </c>
      <c r="F33" s="46">
        <f aca="true" t="shared" si="11" ref="F33:F39">E33/$E$41</f>
        <v>0.0029182615063687396</v>
      </c>
      <c r="G33" s="57">
        <v>25396</v>
      </c>
      <c r="H33" s="46">
        <f t="shared" si="8"/>
        <v>0.003154549838185853</v>
      </c>
      <c r="I33" s="57">
        <v>26431</v>
      </c>
      <c r="J33" s="46">
        <f aca="true" t="shared" si="12" ref="J33:J39">I33/$I$41</f>
        <v>0.00309390953647778</v>
      </c>
      <c r="K33" s="64">
        <v>26431</v>
      </c>
      <c r="L33" s="46">
        <f t="shared" si="5"/>
        <v>0.00306254031525939</v>
      </c>
    </row>
    <row r="34" spans="1:12" ht="12.75">
      <c r="A34" s="8" t="s">
        <v>101</v>
      </c>
      <c r="B34" s="8"/>
      <c r="C34" s="40">
        <v>843</v>
      </c>
      <c r="D34" s="46">
        <f t="shared" si="10"/>
        <v>0.00010386277103655415</v>
      </c>
      <c r="E34">
        <v>843</v>
      </c>
      <c r="F34" s="46">
        <f t="shared" si="11"/>
        <v>0.00010002416954132333</v>
      </c>
      <c r="G34" s="57">
        <v>911</v>
      </c>
      <c r="H34" s="46">
        <f t="shared" si="8"/>
        <v>0.00011315935196831439</v>
      </c>
      <c r="I34" s="57">
        <v>1048</v>
      </c>
      <c r="J34" s="46">
        <f t="shared" si="12"/>
        <v>0.00012267478317992938</v>
      </c>
      <c r="K34" s="64">
        <v>1048</v>
      </c>
      <c r="L34" s="46">
        <f t="shared" si="5"/>
        <v>0.00012143098068146649</v>
      </c>
    </row>
    <row r="35" spans="1:12" ht="12.75">
      <c r="A35" s="8" t="s">
        <v>94</v>
      </c>
      <c r="B35" s="8"/>
      <c r="C35" s="64">
        <v>9227</v>
      </c>
      <c r="D35" s="46">
        <f t="shared" si="10"/>
        <v>0.0011368229992340276</v>
      </c>
      <c r="E35" s="57">
        <v>9227</v>
      </c>
      <c r="F35" s="46">
        <f t="shared" si="11"/>
        <v>0.0010948078438407951</v>
      </c>
      <c r="G35" s="57">
        <v>9226</v>
      </c>
      <c r="H35" s="46">
        <f t="shared" si="8"/>
        <v>0.0011460023943574847</v>
      </c>
      <c r="I35" s="57">
        <v>5880</v>
      </c>
      <c r="J35" s="46">
        <f t="shared" si="12"/>
        <v>0.0006882898140247945</v>
      </c>
      <c r="K35" s="64">
        <v>5880</v>
      </c>
      <c r="L35" s="46">
        <f t="shared" si="5"/>
        <v>0.0006813112274876174</v>
      </c>
    </row>
    <row r="36" spans="1:12" ht="12.75">
      <c r="A36" s="32" t="s">
        <v>90</v>
      </c>
      <c r="B36" s="32"/>
      <c r="C36" s="64">
        <v>378</v>
      </c>
      <c r="D36" s="46">
        <f t="shared" si="10"/>
        <v>4.6571918685429974E-05</v>
      </c>
      <c r="E36" s="57">
        <v>378</v>
      </c>
      <c r="F36" s="46">
        <f t="shared" si="11"/>
        <v>4.485069523916989E-05</v>
      </c>
      <c r="G36" s="57">
        <v>359</v>
      </c>
      <c r="H36" s="46">
        <f t="shared" si="8"/>
        <v>4.459298282834782E-05</v>
      </c>
      <c r="I36" s="57">
        <v>342</v>
      </c>
      <c r="J36" s="46">
        <f t="shared" si="12"/>
        <v>4.003318306062581E-05</v>
      </c>
      <c r="K36" s="64">
        <v>342</v>
      </c>
      <c r="L36" s="46">
        <f t="shared" si="5"/>
        <v>3.962728568040223E-05</v>
      </c>
    </row>
    <row r="37" spans="1:12" ht="12.75">
      <c r="A37" s="24" t="s">
        <v>91</v>
      </c>
      <c r="B37" s="24"/>
      <c r="C37" s="64">
        <v>291</v>
      </c>
      <c r="D37" s="46">
        <f t="shared" si="10"/>
        <v>3.5852985019735776E-05</v>
      </c>
      <c r="E37" s="57">
        <v>291</v>
      </c>
      <c r="F37" s="46">
        <f t="shared" si="11"/>
        <v>3.4527916176186345E-05</v>
      </c>
      <c r="G37" s="57">
        <v>347</v>
      </c>
      <c r="H37" s="46">
        <f t="shared" si="8"/>
        <v>4.310240958617464E-05</v>
      </c>
      <c r="I37" s="57">
        <v>347</v>
      </c>
      <c r="J37" s="46">
        <f t="shared" si="12"/>
        <v>4.061846351472852E-05</v>
      </c>
      <c r="K37" s="64">
        <v>347</v>
      </c>
      <c r="L37" s="46">
        <f t="shared" si="5"/>
        <v>4.020663196227946E-05</v>
      </c>
    </row>
    <row r="38" spans="1:12" s="58" customFormat="1" ht="12.75">
      <c r="A38" s="65" t="s">
        <v>98</v>
      </c>
      <c r="B38" s="65"/>
      <c r="C38" s="64">
        <v>6</v>
      </c>
      <c r="D38" s="53">
        <f t="shared" si="10"/>
        <v>7.392368045306345E-07</v>
      </c>
      <c r="E38" s="66">
        <v>6</v>
      </c>
      <c r="F38" s="53">
        <f t="shared" si="11"/>
        <v>7.119157974471411E-07</v>
      </c>
      <c r="G38" s="66">
        <v>4</v>
      </c>
      <c r="H38" s="53">
        <f t="shared" si="8"/>
        <v>4.968577473910621E-07</v>
      </c>
      <c r="I38" s="66">
        <v>4</v>
      </c>
      <c r="J38" s="53">
        <f t="shared" si="12"/>
        <v>4.682243632821732E-07</v>
      </c>
      <c r="K38" s="64">
        <v>4</v>
      </c>
      <c r="L38" s="53">
        <f t="shared" si="5"/>
        <v>4.634770255017805E-07</v>
      </c>
    </row>
    <row r="39" spans="1:12" ht="12.75">
      <c r="A39" t="s">
        <v>40</v>
      </c>
      <c r="C39" s="57">
        <f>SUM(C33:C38)</f>
        <v>35340</v>
      </c>
      <c r="D39" s="46">
        <f t="shared" si="10"/>
        <v>0.0043541047786854374</v>
      </c>
      <c r="E39" s="57">
        <f>SUM(E33:E38)</f>
        <v>35340</v>
      </c>
      <c r="F39" s="46">
        <f t="shared" si="11"/>
        <v>0.004193184046963661</v>
      </c>
      <c r="G39" s="57">
        <f>SUM(G33:G38)</f>
        <v>36243</v>
      </c>
      <c r="H39" s="46">
        <f t="shared" si="8"/>
        <v>0.004501903834673565</v>
      </c>
      <c r="I39" s="57">
        <f>SUM(I33:I38)</f>
        <v>34052</v>
      </c>
      <c r="J39" s="46">
        <f t="shared" si="12"/>
        <v>0.00398599400462114</v>
      </c>
      <c r="K39" s="57">
        <f>SUM(K33:K38)</f>
        <v>34052</v>
      </c>
      <c r="L39" s="46">
        <f t="shared" si="5"/>
        <v>0.003945579918096657</v>
      </c>
    </row>
    <row r="40" spans="3:10" ht="12.75">
      <c r="C40" s="47"/>
      <c r="D40" s="47"/>
      <c r="E40" s="57"/>
      <c r="F40" s="46"/>
      <c r="G40" s="57"/>
      <c r="H40" s="46"/>
      <c r="I40" s="57"/>
      <c r="J40" s="46"/>
    </row>
    <row r="41" spans="1:11" s="43" customFormat="1" ht="38.25">
      <c r="A41" s="67" t="s">
        <v>99</v>
      </c>
      <c r="B41" s="68">
        <f>B29+B18+B10+B39</f>
        <v>5134994.544031999</v>
      </c>
      <c r="C41" s="68">
        <f>C29+C18+C10+C39</f>
        <v>8116479</v>
      </c>
      <c r="D41" s="69"/>
      <c r="E41" s="68">
        <f>E29+E18+E10+E39</f>
        <v>8427963</v>
      </c>
      <c r="F41" s="68"/>
      <c r="G41" s="68">
        <f>G29+G18+G10+G39</f>
        <v>8050594</v>
      </c>
      <c r="H41" s="68"/>
      <c r="I41" s="68">
        <f>I29+I18+I10+I39</f>
        <v>8542913</v>
      </c>
      <c r="K41" s="68">
        <f>K29+K18+K10+K39</f>
        <v>8630417</v>
      </c>
    </row>
    <row r="42" spans="1:11" s="70" customFormat="1" ht="11.25">
      <c r="A42" s="70" t="s">
        <v>106</v>
      </c>
      <c r="C42" s="71">
        <f>C41/C44</f>
        <v>13.573910396740848</v>
      </c>
      <c r="E42" s="71">
        <f>E41/E44</f>
        <v>14.125756321253423</v>
      </c>
      <c r="G42" s="71">
        <f>G41/G44</f>
        <v>13.514556033426333</v>
      </c>
      <c r="I42" s="71">
        <f>I41/I44</f>
        <v>14.042713757824417</v>
      </c>
      <c r="K42" s="71">
        <f>K41/K44</f>
        <v>14.170921295254859</v>
      </c>
    </row>
    <row r="43" spans="1:11" s="70" customFormat="1" ht="11.25">
      <c r="A43" s="70" t="s">
        <v>107</v>
      </c>
      <c r="C43" s="71">
        <f>C42*0.9072</f>
        <v>12.314251511923297</v>
      </c>
      <c r="E43" s="71">
        <f>E42*0.9072</f>
        <v>12.814886134641105</v>
      </c>
      <c r="G43" s="71">
        <f>G42*0.9072</f>
        <v>12.260405233524368</v>
      </c>
      <c r="I43" s="71">
        <f>I42*0.9072</f>
        <v>12.73954992109831</v>
      </c>
      <c r="K43" s="71">
        <f>K42*0.9072</f>
        <v>12.855859799055208</v>
      </c>
    </row>
    <row r="44" spans="1:11" s="70" customFormat="1" ht="11.25">
      <c r="A44" s="70" t="s">
        <v>108</v>
      </c>
      <c r="C44" s="72">
        <v>597947</v>
      </c>
      <c r="D44" s="72"/>
      <c r="E44" s="72">
        <v>596638</v>
      </c>
      <c r="F44" s="72"/>
      <c r="G44" s="72">
        <v>595698</v>
      </c>
      <c r="H44" s="72"/>
      <c r="I44" s="72">
        <v>608352</v>
      </c>
      <c r="J44" s="72"/>
      <c r="K44" s="72">
        <v>609023</v>
      </c>
    </row>
    <row r="45" spans="1:7" ht="12.75">
      <c r="A45" s="8" t="s">
        <v>85</v>
      </c>
      <c r="G45" s="73"/>
    </row>
    <row r="46" ht="12.75">
      <c r="A46" s="8" t="s">
        <v>86</v>
      </c>
    </row>
    <row r="47" ht="12.75">
      <c r="A47" s="8" t="s">
        <v>87</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12.57421875" defaultRowHeight="12.75"/>
  <cols>
    <col min="1" max="1" width="20.421875" style="8" customWidth="1"/>
    <col min="2" max="2" width="17.28125" style="8" customWidth="1"/>
    <col min="3" max="3" width="19.00390625" style="8" customWidth="1"/>
    <col min="4" max="4" width="16.57421875" style="8" customWidth="1"/>
    <col min="5" max="6" width="20.421875" style="8" customWidth="1"/>
    <col min="7" max="7" width="19.8515625" style="8" customWidth="1"/>
    <col min="8" max="8" width="23.00390625" style="8" customWidth="1"/>
    <col min="9" max="9" width="16.140625" style="8" customWidth="1"/>
    <col min="10" max="10" width="17.140625" style="8" customWidth="1"/>
    <col min="11" max="11" width="18.57421875" style="8" customWidth="1"/>
    <col min="12" max="13" width="16.7109375" style="8" customWidth="1"/>
    <col min="14" max="14" width="2.421875" style="8" customWidth="1"/>
    <col min="15" max="15" width="17.8515625" style="8" customWidth="1"/>
    <col min="16" max="16" width="17.28125" style="8" customWidth="1"/>
    <col min="17" max="17" width="2.57421875" style="8" customWidth="1"/>
    <col min="18" max="18" width="15.57421875" style="8" customWidth="1"/>
    <col min="19" max="19" width="15.00390625" style="8" customWidth="1"/>
    <col min="20" max="16384" width="12.57421875" style="8" customWidth="1"/>
  </cols>
  <sheetData>
    <row r="1" spans="1:6" ht="18.75" thickBot="1">
      <c r="A1" s="501" t="s">
        <v>615</v>
      </c>
      <c r="C1" s="9"/>
      <c r="D1" s="9"/>
      <c r="E1" s="10" t="s">
        <v>62</v>
      </c>
      <c r="F1" t="s">
        <v>63</v>
      </c>
    </row>
    <row r="2" spans="9:10" ht="12.75">
      <c r="I2" s="11"/>
      <c r="J2" s="11"/>
    </row>
    <row r="3" spans="2:10" ht="12.75">
      <c r="B3" s="12">
        <v>1990</v>
      </c>
      <c r="C3" s="12">
        <v>2004</v>
      </c>
      <c r="D3" s="12">
        <v>2005</v>
      </c>
      <c r="E3" s="12">
        <v>2006</v>
      </c>
      <c r="F3" s="12">
        <v>2007</v>
      </c>
      <c r="G3" s="12">
        <v>2008</v>
      </c>
      <c r="J3" s="13"/>
    </row>
    <row r="4" spans="1:10" ht="12.75">
      <c r="A4" s="14" t="s">
        <v>64</v>
      </c>
      <c r="B4" s="14"/>
      <c r="C4" s="14"/>
      <c r="D4" s="12"/>
      <c r="E4" s="12"/>
      <c r="F4" s="12"/>
      <c r="G4" s="12"/>
      <c r="J4" s="13"/>
    </row>
    <row r="5" spans="1:10" ht="12.75">
      <c r="A5" s="8" t="s">
        <v>65</v>
      </c>
      <c r="B5" s="15">
        <v>1034714195</v>
      </c>
      <c r="C5" s="16">
        <v>1257203536</v>
      </c>
      <c r="D5" s="16">
        <v>1300668524</v>
      </c>
      <c r="E5" s="16">
        <v>1247372559</v>
      </c>
      <c r="F5" s="16">
        <v>1251947232</v>
      </c>
      <c r="G5" s="13">
        <v>1246359832</v>
      </c>
      <c r="I5" s="13"/>
      <c r="J5" s="13"/>
    </row>
    <row r="6" spans="1:7" ht="12.75">
      <c r="A6" s="8" t="s">
        <v>66</v>
      </c>
      <c r="C6" s="16">
        <v>51541071</v>
      </c>
      <c r="D6" s="16">
        <v>55457472</v>
      </c>
      <c r="E6" s="17">
        <v>56385947</v>
      </c>
      <c r="F6" s="16">
        <v>70654924</v>
      </c>
      <c r="G6" s="18">
        <v>76518407</v>
      </c>
    </row>
    <row r="7" spans="1:10" ht="12.75">
      <c r="A7" s="8" t="s">
        <v>67</v>
      </c>
      <c r="C7" s="16">
        <v>50162344</v>
      </c>
      <c r="D7" s="16">
        <v>36334931</v>
      </c>
      <c r="E7" s="16">
        <v>36820377</v>
      </c>
      <c r="F7" s="16">
        <v>34349140</v>
      </c>
      <c r="G7" s="19">
        <v>34349140</v>
      </c>
      <c r="I7" s="13"/>
      <c r="J7" s="13"/>
    </row>
    <row r="8" spans="1:10" ht="12.75">
      <c r="A8" s="8" t="s">
        <v>68</v>
      </c>
      <c r="C8" s="16">
        <v>498252</v>
      </c>
      <c r="D8" s="16">
        <v>491455</v>
      </c>
      <c r="E8" s="16">
        <v>436212</v>
      </c>
      <c r="F8" s="16">
        <v>382381</v>
      </c>
      <c r="G8" s="19">
        <v>382381</v>
      </c>
      <c r="I8" s="13"/>
      <c r="J8" s="13"/>
    </row>
    <row r="9" spans="1:10" ht="12.75">
      <c r="A9" s="20" t="s">
        <v>69</v>
      </c>
      <c r="B9" s="20"/>
      <c r="C9" s="17">
        <v>261076</v>
      </c>
      <c r="D9" s="13">
        <v>253129</v>
      </c>
      <c r="E9" s="16">
        <v>249897</v>
      </c>
      <c r="F9" s="16">
        <v>236364</v>
      </c>
      <c r="G9" s="13">
        <v>220777</v>
      </c>
      <c r="I9" s="13"/>
      <c r="J9" s="13"/>
    </row>
    <row r="10" spans="3:10" ht="12.75">
      <c r="C10" s="16"/>
      <c r="I10" s="13"/>
      <c r="J10" s="13"/>
    </row>
    <row r="11" spans="1:10" ht="12.75">
      <c r="A11" s="14" t="s">
        <v>70</v>
      </c>
      <c r="B11" s="14"/>
      <c r="C11" s="21"/>
      <c r="D11" s="14"/>
      <c r="E11" s="14"/>
      <c r="F11" s="14"/>
      <c r="G11" s="14"/>
      <c r="I11" s="13"/>
      <c r="J11" s="13"/>
    </row>
    <row r="12" spans="1:10" ht="12.75">
      <c r="A12" s="8" t="s">
        <v>65</v>
      </c>
      <c r="B12" s="15">
        <v>4304431861</v>
      </c>
      <c r="C12" s="16">
        <v>5324644500</v>
      </c>
      <c r="D12" s="16">
        <v>5391322420</v>
      </c>
      <c r="E12" s="16">
        <v>5428782998</v>
      </c>
      <c r="F12" s="16">
        <f>5462764666+78062342</f>
        <v>5540827008</v>
      </c>
      <c r="G12" s="13">
        <v>5531118810</v>
      </c>
      <c r="I12" s="13"/>
      <c r="J12" s="13"/>
    </row>
    <row r="13" spans="1:14" ht="12.75">
      <c r="A13" s="8" t="s">
        <v>71</v>
      </c>
      <c r="C13" s="16">
        <v>175235365</v>
      </c>
      <c r="D13" s="16">
        <v>195469646</v>
      </c>
      <c r="E13" s="17">
        <v>215620610</v>
      </c>
      <c r="F13" s="16">
        <v>226831489</v>
      </c>
      <c r="G13" s="22">
        <v>236638842</v>
      </c>
      <c r="H13" s="8" t="s">
        <v>72</v>
      </c>
      <c r="M13" s="13"/>
      <c r="N13" s="13"/>
    </row>
    <row r="14" spans="1:14" ht="12.75">
      <c r="A14" s="8" t="s">
        <v>67</v>
      </c>
      <c r="C14" s="16">
        <v>35838394</v>
      </c>
      <c r="D14" s="16">
        <v>36175407</v>
      </c>
      <c r="E14" s="16">
        <v>36512419</v>
      </c>
      <c r="F14" s="18">
        <v>36849432</v>
      </c>
      <c r="G14" s="18">
        <v>37186445</v>
      </c>
      <c r="M14" s="13"/>
      <c r="N14" s="13"/>
    </row>
    <row r="15" spans="1:17" ht="12.75">
      <c r="A15" s="8" t="s">
        <v>68</v>
      </c>
      <c r="C15" s="16">
        <v>4031313</v>
      </c>
      <c r="D15" s="16">
        <v>3976319</v>
      </c>
      <c r="E15" s="16">
        <v>3529348</v>
      </c>
      <c r="F15" s="16">
        <v>3093812</v>
      </c>
      <c r="G15" s="19">
        <v>3093812</v>
      </c>
      <c r="P15" s="13"/>
      <c r="Q15" s="13"/>
    </row>
    <row r="16" spans="1:19" ht="12.75">
      <c r="A16" s="20" t="s">
        <v>73</v>
      </c>
      <c r="B16" s="20"/>
      <c r="C16" s="23">
        <v>634886</v>
      </c>
      <c r="D16" s="13">
        <v>634886</v>
      </c>
      <c r="E16" s="16">
        <v>640024</v>
      </c>
      <c r="F16" s="16">
        <v>634793</v>
      </c>
      <c r="G16" s="19">
        <v>634793</v>
      </c>
      <c r="R16" s="13"/>
      <c r="S16" s="13"/>
    </row>
    <row r="17" spans="1:3" ht="12.75">
      <c r="A17" s="8" t="s">
        <v>74</v>
      </c>
      <c r="C17" s="16"/>
    </row>
    <row r="18" ht="12.75">
      <c r="C18" s="16"/>
    </row>
    <row r="19" spans="1:7" ht="12.75">
      <c r="A19" s="14" t="s">
        <v>38</v>
      </c>
      <c r="B19" s="14"/>
      <c r="C19" s="21"/>
      <c r="D19" s="14"/>
      <c r="E19" s="14"/>
      <c r="F19" s="14"/>
      <c r="G19" s="14"/>
    </row>
    <row r="20" spans="1:8" ht="12.75">
      <c r="A20" s="24" t="s">
        <v>75</v>
      </c>
      <c r="B20" s="25">
        <v>2544685800</v>
      </c>
      <c r="C20" s="25">
        <v>3059366104</v>
      </c>
      <c r="D20" s="13">
        <v>3067029330</v>
      </c>
      <c r="E20" s="26">
        <v>3074692556</v>
      </c>
      <c r="F20" s="27">
        <v>3082355782</v>
      </c>
      <c r="G20" s="27">
        <v>3090019008</v>
      </c>
      <c r="H20" s="24" t="s">
        <v>76</v>
      </c>
    </row>
    <row r="21" spans="1:8" ht="12.75">
      <c r="A21" s="24"/>
      <c r="B21" s="24"/>
      <c r="C21" s="25"/>
      <c r="D21" s="13"/>
      <c r="E21" s="26"/>
      <c r="F21" s="27"/>
      <c r="G21" s="27"/>
      <c r="H21" s="24"/>
    </row>
    <row r="22" spans="1:7" ht="12.75">
      <c r="A22" s="28" t="s">
        <v>77</v>
      </c>
      <c r="B22" s="28"/>
      <c r="C22" s="18"/>
      <c r="G22" s="8" t="s">
        <v>78</v>
      </c>
    </row>
    <row r="23" spans="1:7" ht="12.75">
      <c r="A23" s="24" t="s">
        <v>65</v>
      </c>
      <c r="B23" s="24"/>
      <c r="C23" s="29">
        <v>447075000</v>
      </c>
      <c r="D23" s="30">
        <v>447075000</v>
      </c>
      <c r="E23" s="31">
        <v>406231550</v>
      </c>
      <c r="F23" s="31">
        <v>428025310</v>
      </c>
      <c r="G23" s="23">
        <v>428025310</v>
      </c>
    </row>
    <row r="24" spans="1:7" ht="12.75">
      <c r="A24" s="24" t="s">
        <v>79</v>
      </c>
      <c r="B24" s="24"/>
      <c r="C24" s="29">
        <v>5075978</v>
      </c>
      <c r="D24" s="30">
        <v>5075978</v>
      </c>
      <c r="E24" s="31">
        <v>4858819</v>
      </c>
      <c r="F24" s="31">
        <v>5274388</v>
      </c>
      <c r="G24" s="23">
        <v>5274388</v>
      </c>
    </row>
    <row r="25" spans="1:7" ht="12.75">
      <c r="A25" s="24" t="s">
        <v>80</v>
      </c>
      <c r="B25" s="24"/>
      <c r="C25" s="29">
        <v>7884422</v>
      </c>
      <c r="D25" s="30">
        <v>7884422</v>
      </c>
      <c r="E25" s="31">
        <v>7703067</v>
      </c>
      <c r="F25" s="31">
        <v>8147632</v>
      </c>
      <c r="G25" s="23">
        <v>8147632</v>
      </c>
    </row>
    <row r="26" spans="1:7" ht="12.75">
      <c r="A26" s="32" t="s">
        <v>81</v>
      </c>
      <c r="B26" s="32"/>
      <c r="C26" s="29">
        <v>463817</v>
      </c>
      <c r="D26" s="30">
        <v>463817</v>
      </c>
      <c r="E26" s="31">
        <v>465613</v>
      </c>
      <c r="F26" s="31">
        <v>487285</v>
      </c>
      <c r="G26" s="23">
        <v>487285</v>
      </c>
    </row>
    <row r="27" ht="12.75">
      <c r="C27" s="16"/>
    </row>
    <row r="28" spans="1:3" ht="12.75">
      <c r="A28" s="33" t="s">
        <v>82</v>
      </c>
      <c r="B28" s="33"/>
      <c r="C28" s="34"/>
    </row>
    <row r="29" spans="1:3" ht="12.75">
      <c r="A29" s="35" t="s">
        <v>83</v>
      </c>
      <c r="B29" s="35"/>
      <c r="C29" s="35"/>
    </row>
    <row r="30" spans="1:7" ht="12.75">
      <c r="A30" s="8" t="s">
        <v>65</v>
      </c>
      <c r="C30" s="19">
        <f>19881364+33865713</f>
        <v>53747077</v>
      </c>
      <c r="D30" s="16">
        <f>19881364+33865713</f>
        <v>53747077</v>
      </c>
      <c r="E30" s="16">
        <v>55497115</v>
      </c>
      <c r="F30" s="16">
        <v>57758822</v>
      </c>
      <c r="G30" s="19">
        <v>57758822</v>
      </c>
    </row>
    <row r="31" spans="1:7" ht="12.75">
      <c r="A31" s="8" t="s">
        <v>66</v>
      </c>
      <c r="C31" s="19">
        <f>50828+86581</f>
        <v>137409</v>
      </c>
      <c r="D31" s="16">
        <f>50828+86581</f>
        <v>137409</v>
      </c>
      <c r="E31" s="16">
        <v>147511</v>
      </c>
      <c r="F31" s="16">
        <v>169605</v>
      </c>
      <c r="G31" s="19">
        <v>169605</v>
      </c>
    </row>
    <row r="32" spans="1:7" ht="12.75">
      <c r="A32" s="8" t="s">
        <v>67</v>
      </c>
      <c r="C32" s="19">
        <f>295012+502521</f>
        <v>797533</v>
      </c>
      <c r="D32" s="16">
        <f>295012+502521</f>
        <v>797533</v>
      </c>
      <c r="E32" s="16">
        <v>800528</v>
      </c>
      <c r="F32" s="16">
        <v>508250</v>
      </c>
      <c r="G32" s="19">
        <v>508250</v>
      </c>
    </row>
    <row r="33" spans="1:7" ht="12.75">
      <c r="A33" s="32" t="s">
        <v>81</v>
      </c>
      <c r="B33" s="32"/>
      <c r="C33" s="19">
        <v>35175</v>
      </c>
      <c r="D33" s="16">
        <v>35175</v>
      </c>
      <c r="E33" s="16">
        <v>33433</v>
      </c>
      <c r="F33" s="16">
        <v>31870</v>
      </c>
      <c r="G33" s="19">
        <v>31870</v>
      </c>
    </row>
    <row r="34" spans="1:7" ht="12.75">
      <c r="A34" s="24" t="s">
        <v>79</v>
      </c>
      <c r="B34" s="24"/>
      <c r="C34" s="19">
        <f>6364+21096</f>
        <v>27460</v>
      </c>
      <c r="D34" s="16">
        <f>6364+21096</f>
        <v>27460</v>
      </c>
      <c r="E34" s="16">
        <f>6393+21800</f>
        <v>28193</v>
      </c>
      <c r="F34" s="16">
        <f>3954+28833</f>
        <v>32787</v>
      </c>
      <c r="G34" s="19">
        <f>3954+28833</f>
        <v>32787</v>
      </c>
    </row>
    <row r="35" spans="1:7" ht="12.75">
      <c r="A35" s="24" t="s">
        <v>84</v>
      </c>
      <c r="B35" s="24"/>
      <c r="C35" s="19">
        <v>914</v>
      </c>
      <c r="D35" s="16">
        <v>914</v>
      </c>
      <c r="E35" s="16">
        <v>639</v>
      </c>
      <c r="F35" s="16">
        <v>669</v>
      </c>
      <c r="G35" s="19">
        <v>669</v>
      </c>
    </row>
    <row r="36" spans="4:6" ht="12.75">
      <c r="D36" s="16"/>
      <c r="E36" s="16"/>
      <c r="F36" s="16"/>
    </row>
    <row r="37" spans="4:6" ht="12.75">
      <c r="D37" s="16"/>
      <c r="E37" s="16"/>
      <c r="F37" s="16"/>
    </row>
    <row r="38" spans="4:6" ht="12.75">
      <c r="D38" s="16"/>
      <c r="E38" s="16"/>
      <c r="F38" s="16"/>
    </row>
    <row r="40" spans="1:8" ht="12.75">
      <c r="A40" s="8" t="s">
        <v>85</v>
      </c>
      <c r="H40" s="13"/>
    </row>
    <row r="41" spans="1:8" ht="12.75">
      <c r="A41" s="8" t="s">
        <v>86</v>
      </c>
      <c r="G41" s="36"/>
      <c r="H41" s="13"/>
    </row>
    <row r="42" spans="1:9" ht="12.75">
      <c r="A42" s="8" t="s">
        <v>87</v>
      </c>
      <c r="H42" s="16"/>
      <c r="I42" s="37"/>
    </row>
    <row r="43" spans="8:9" ht="12.75">
      <c r="H43" s="16"/>
      <c r="I43" s="37"/>
    </row>
    <row r="44" spans="8:9" ht="12.75">
      <c r="H44" s="16"/>
      <c r="I44" s="37"/>
    </row>
    <row r="45" spans="8:9" ht="12.75">
      <c r="H45" s="16"/>
      <c r="I45" s="37"/>
    </row>
    <row r="46" spans="8:9" ht="12.75">
      <c r="H46" s="16"/>
      <c r="I46" s="37"/>
    </row>
    <row r="47" spans="1:9" ht="12.75">
      <c r="A47" s="8" t="s">
        <v>88</v>
      </c>
      <c r="G47" s="36"/>
      <c r="H47" s="16"/>
      <c r="I47" s="37"/>
    </row>
    <row r="48" spans="1:9" ht="12.75">
      <c r="A48" s="8" t="s">
        <v>89</v>
      </c>
      <c r="H48" s="16"/>
      <c r="I48" s="37"/>
    </row>
    <row r="49" spans="8:9" ht="12.75">
      <c r="H49" s="16"/>
      <c r="I49" s="37"/>
    </row>
    <row r="50" spans="8:9" ht="12.75">
      <c r="H50" s="16"/>
      <c r="I50" s="37"/>
    </row>
    <row r="51" spans="8:9" ht="12.75">
      <c r="H51" s="16"/>
      <c r="I51" s="37"/>
    </row>
    <row r="52" ht="12.75">
      <c r="I52" s="38"/>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165"/>
  <sheetViews>
    <sheetView zoomScalePageLayoutView="0" workbookViewId="0" topLeftCell="A1">
      <selection activeCell="A1" sqref="A1"/>
    </sheetView>
  </sheetViews>
  <sheetFormatPr defaultColWidth="9.140625" defaultRowHeight="12.75"/>
  <cols>
    <col min="10" max="10" width="13.57421875" style="0" customWidth="1"/>
    <col min="12" max="12" width="12.28125" style="0" customWidth="1"/>
    <col min="18" max="18" width="11.00390625" style="0" customWidth="1"/>
    <col min="20" max="20" width="11.140625" style="0" customWidth="1"/>
    <col min="21" max="22" width="11.00390625" style="0" bestFit="1" customWidth="1"/>
  </cols>
  <sheetData>
    <row r="1" spans="1:8" ht="18">
      <c r="A1" s="503" t="s">
        <v>630</v>
      </c>
      <c r="B1" s="82"/>
      <c r="C1" s="82"/>
      <c r="D1" s="82"/>
      <c r="E1" s="82"/>
      <c r="F1" s="82"/>
      <c r="G1" s="82"/>
      <c r="H1" s="82"/>
    </row>
    <row r="3" ht="12.75">
      <c r="F3" s="123"/>
    </row>
    <row r="4" spans="1:6" ht="12.75">
      <c r="A4" s="4" t="s">
        <v>214</v>
      </c>
      <c r="F4" s="123"/>
    </row>
    <row r="5" spans="1:6" ht="12.75">
      <c r="A5" t="s">
        <v>244</v>
      </c>
      <c r="F5" s="123"/>
    </row>
    <row r="6" spans="1:6" ht="12.75">
      <c r="A6" t="s">
        <v>245</v>
      </c>
      <c r="F6" s="123"/>
    </row>
    <row r="7" spans="1:6" ht="12.75">
      <c r="A7" t="s">
        <v>246</v>
      </c>
      <c r="F7" s="123"/>
    </row>
    <row r="8" spans="1:6" ht="12.75">
      <c r="A8" t="s">
        <v>437</v>
      </c>
      <c r="F8" s="123"/>
    </row>
    <row r="9" spans="1:6" ht="12.75">
      <c r="A9" t="s">
        <v>440</v>
      </c>
      <c r="F9" s="123"/>
    </row>
    <row r="11" ht="15.75">
      <c r="A11" s="77" t="s">
        <v>436</v>
      </c>
    </row>
    <row r="15" spans="10:11" ht="12.75">
      <c r="J15">
        <v>1280000</v>
      </c>
      <c r="K15" t="s">
        <v>460</v>
      </c>
    </row>
    <row r="16" spans="10:11" ht="12.75">
      <c r="J16">
        <v>100000000</v>
      </c>
      <c r="K16" t="s">
        <v>461</v>
      </c>
    </row>
    <row r="17" spans="10:11" ht="12.75">
      <c r="J17" s="218">
        <f>J15/J16</f>
        <v>0.0128</v>
      </c>
      <c r="K17" t="s">
        <v>441</v>
      </c>
    </row>
    <row r="32" spans="11:16" ht="12.75">
      <c r="K32" s="325"/>
      <c r="L32" s="294"/>
      <c r="M32" s="294"/>
      <c r="N32" s="294"/>
      <c r="O32" s="294"/>
      <c r="P32" s="294"/>
    </row>
    <row r="33" spans="11:16" ht="12.75">
      <c r="K33" s="294"/>
      <c r="L33" s="294"/>
      <c r="M33" s="294"/>
      <c r="N33" s="294"/>
      <c r="O33" s="294"/>
      <c r="P33" s="294"/>
    </row>
    <row r="34" spans="11:16" ht="12.75">
      <c r="K34" s="294"/>
      <c r="L34" s="294"/>
      <c r="M34" s="473"/>
      <c r="N34" s="294"/>
      <c r="O34" s="294"/>
      <c r="P34" s="294"/>
    </row>
    <row r="35" spans="11:16" ht="12.75">
      <c r="K35" s="294"/>
      <c r="L35" s="294"/>
      <c r="M35" s="473"/>
      <c r="N35" s="294"/>
      <c r="O35" s="294"/>
      <c r="P35" s="294"/>
    </row>
    <row r="36" spans="11:16" ht="12.75">
      <c r="K36" s="294"/>
      <c r="L36" s="294"/>
      <c r="M36" s="473"/>
      <c r="N36" s="294"/>
      <c r="O36" s="294"/>
      <c r="P36" s="294"/>
    </row>
    <row r="61" ht="12.75">
      <c r="A61" s="4" t="s">
        <v>247</v>
      </c>
    </row>
    <row r="62" ht="12.75">
      <c r="A62" t="s">
        <v>242</v>
      </c>
    </row>
    <row r="63" ht="12.75">
      <c r="A63" t="s">
        <v>243</v>
      </c>
    </row>
    <row r="165" ht="12.75">
      <c r="G165" s="123"/>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
    </sheetView>
  </sheetViews>
  <sheetFormatPr defaultColWidth="9.140625" defaultRowHeight="12.75"/>
  <cols>
    <col min="3" max="3" width="10.8515625" style="0" customWidth="1"/>
  </cols>
  <sheetData>
    <row r="1" ht="18">
      <c r="A1" s="3" t="s">
        <v>629</v>
      </c>
    </row>
    <row r="3" ht="12.75">
      <c r="A3" s="4" t="s">
        <v>124</v>
      </c>
    </row>
    <row r="4" spans="10:12" ht="12.75">
      <c r="J4" s="126"/>
      <c r="K4" s="82"/>
      <c r="L4" s="82"/>
    </row>
    <row r="5" spans="1:12" ht="12.75">
      <c r="A5" t="s">
        <v>131</v>
      </c>
      <c r="J5" s="82"/>
      <c r="K5" s="82"/>
      <c r="L5" s="82"/>
    </row>
    <row r="6" spans="1:12" ht="12.75">
      <c r="A6" t="s">
        <v>259</v>
      </c>
      <c r="D6" s="1">
        <v>0.008</v>
      </c>
      <c r="J6" s="82"/>
      <c r="K6" s="82"/>
      <c r="L6" s="82"/>
    </row>
    <row r="7" spans="1:12" ht="12.75">
      <c r="A7" t="s">
        <v>260</v>
      </c>
      <c r="D7" s="125">
        <v>0.0001</v>
      </c>
      <c r="J7" s="82"/>
      <c r="K7" s="82"/>
      <c r="L7" s="82"/>
    </row>
    <row r="8" spans="1:12" ht="12.75">
      <c r="A8" t="s">
        <v>125</v>
      </c>
      <c r="D8" s="1">
        <v>0.024</v>
      </c>
      <c r="J8" s="82"/>
      <c r="K8" s="82"/>
      <c r="L8" s="82"/>
    </row>
    <row r="9" spans="1:12" ht="12.75">
      <c r="A9" t="s">
        <v>126</v>
      </c>
      <c r="D9" s="1">
        <f>+D8-D6-D7</f>
        <v>0.0159</v>
      </c>
      <c r="J9" s="82"/>
      <c r="K9" s="82"/>
      <c r="L9" s="82"/>
    </row>
    <row r="10" spans="1:12" ht="12.75">
      <c r="A10" s="111" t="s">
        <v>127</v>
      </c>
      <c r="B10" s="111"/>
      <c r="C10" s="111"/>
      <c r="D10" s="122">
        <f>+D9*10</f>
        <v>0.159</v>
      </c>
      <c r="J10" s="82"/>
      <c r="K10" s="82"/>
      <c r="L10" s="82"/>
    </row>
    <row r="11" spans="10:12" ht="12.75">
      <c r="J11" s="82"/>
      <c r="K11" s="82"/>
      <c r="L11" s="82"/>
    </row>
    <row r="12" spans="1:12" ht="12.75">
      <c r="A12" s="4" t="s">
        <v>128</v>
      </c>
      <c r="J12" s="82"/>
      <c r="K12" s="82"/>
      <c r="L12" s="82"/>
    </row>
    <row r="13" spans="1:11" ht="12.75">
      <c r="A13" t="s">
        <v>129</v>
      </c>
      <c r="K13" s="75"/>
    </row>
    <row r="14" ht="12.75">
      <c r="K14" s="76"/>
    </row>
    <row r="15" spans="1:11" ht="12.75">
      <c r="A15" s="4" t="s">
        <v>253</v>
      </c>
      <c r="K15" s="76"/>
    </row>
    <row r="16" ht="12.75">
      <c r="A16" t="s">
        <v>238</v>
      </c>
    </row>
    <row r="17" ht="12.75">
      <c r="A17" t="s">
        <v>241</v>
      </c>
    </row>
    <row r="18" ht="12.75">
      <c r="A18" t="s">
        <v>261</v>
      </c>
    </row>
    <row r="20" ht="12.75">
      <c r="A20" s="4" t="s">
        <v>130</v>
      </c>
    </row>
    <row r="21" spans="10:12" ht="12.75">
      <c r="J21" s="126"/>
      <c r="K21" s="82"/>
      <c r="L21" s="82"/>
    </row>
    <row r="22" spans="1:12" ht="12.75">
      <c r="A22" t="s">
        <v>255</v>
      </c>
      <c r="J22" s="82"/>
      <c r="K22" s="82"/>
      <c r="L22" s="82"/>
    </row>
    <row r="23" spans="1:12" ht="12.75">
      <c r="A23" t="s">
        <v>132</v>
      </c>
      <c r="D23" s="1">
        <v>0.0038</v>
      </c>
      <c r="J23" s="82"/>
      <c r="K23" s="82"/>
      <c r="L23" s="82"/>
    </row>
    <row r="24" spans="1:12" ht="12.75">
      <c r="A24" t="s">
        <v>125</v>
      </c>
      <c r="D24" s="1">
        <v>0.0115</v>
      </c>
      <c r="J24" s="82"/>
      <c r="K24" s="82"/>
      <c r="L24" s="82"/>
    </row>
    <row r="25" spans="1:12" ht="12.75">
      <c r="A25" t="s">
        <v>126</v>
      </c>
      <c r="D25" s="1">
        <f>+D24-D23</f>
        <v>0.0077</v>
      </c>
      <c r="J25" s="82"/>
      <c r="K25" s="82"/>
      <c r="L25" s="82"/>
    </row>
    <row r="26" spans="1:12" ht="12.75">
      <c r="A26" s="111" t="s">
        <v>127</v>
      </c>
      <c r="B26" s="111"/>
      <c r="C26" s="111"/>
      <c r="D26" s="122">
        <f>+D25*10</f>
        <v>0.077</v>
      </c>
      <c r="J26" s="82"/>
      <c r="K26" s="82"/>
      <c r="L26" s="82"/>
    </row>
    <row r="27" spans="10:12" ht="12.75">
      <c r="J27" s="82"/>
      <c r="K27" s="82"/>
      <c r="L27" s="82"/>
    </row>
    <row r="28" spans="10:12" ht="12.75">
      <c r="J28" s="82"/>
      <c r="K28" s="82"/>
      <c r="L28" s="82"/>
    </row>
    <row r="29" spans="10:12" ht="12.75">
      <c r="J29" s="82"/>
      <c r="K29" s="82"/>
      <c r="L29" s="82"/>
    </row>
    <row r="30" ht="12.75">
      <c r="A30" s="4" t="s">
        <v>128</v>
      </c>
    </row>
    <row r="31" ht="12.75">
      <c r="A31" t="s">
        <v>256</v>
      </c>
    </row>
    <row r="32" ht="12.75">
      <c r="A32" t="s">
        <v>257</v>
      </c>
    </row>
    <row r="36" ht="12.75">
      <c r="A36" s="4" t="s">
        <v>253</v>
      </c>
    </row>
    <row r="37" ht="12.75">
      <c r="A37" t="s">
        <v>239</v>
      </c>
    </row>
    <row r="38" ht="12.75">
      <c r="A38" t="s">
        <v>240</v>
      </c>
    </row>
    <row r="42" ht="12.75">
      <c r="A42" s="4" t="s">
        <v>262</v>
      </c>
    </row>
    <row r="44" ht="12.75">
      <c r="A44" t="s">
        <v>255</v>
      </c>
    </row>
    <row r="45" spans="1:4" ht="12.75">
      <c r="A45" t="s">
        <v>132</v>
      </c>
      <c r="D45" s="1">
        <v>0.001</v>
      </c>
    </row>
    <row r="46" spans="1:4" ht="12.75">
      <c r="A46" t="s">
        <v>264</v>
      </c>
      <c r="D46" s="1">
        <v>0.0115</v>
      </c>
    </row>
    <row r="47" spans="1:4" ht="12.75">
      <c r="A47" t="s">
        <v>265</v>
      </c>
      <c r="D47" s="1">
        <f>+D48/2</f>
        <v>0.026249999999999996</v>
      </c>
    </row>
    <row r="48" spans="1:4" ht="12.75">
      <c r="A48" t="s">
        <v>266</v>
      </c>
      <c r="D48" s="1">
        <f>(+D46-D45)*5</f>
        <v>0.05249999999999999</v>
      </c>
    </row>
    <row r="49" spans="1:4" ht="12.75">
      <c r="A49" s="111" t="s">
        <v>127</v>
      </c>
      <c r="B49" s="111"/>
      <c r="C49" s="111"/>
      <c r="D49" s="122">
        <f>+D48+D47</f>
        <v>0.07874999999999999</v>
      </c>
    </row>
    <row r="51" ht="12.75">
      <c r="A51" s="4" t="s">
        <v>128</v>
      </c>
    </row>
    <row r="52" ht="12.75">
      <c r="A52" t="s">
        <v>263</v>
      </c>
    </row>
    <row r="53" ht="12.75">
      <c r="A53" t="s">
        <v>267</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T83"/>
  <sheetViews>
    <sheetView zoomScalePageLayoutView="0" workbookViewId="0" topLeftCell="A1">
      <selection activeCell="C74" sqref="C74"/>
    </sheetView>
  </sheetViews>
  <sheetFormatPr defaultColWidth="9.140625" defaultRowHeight="12.75"/>
  <cols>
    <col min="1" max="1" width="29.7109375" style="0" customWidth="1"/>
    <col min="4" max="4" width="13.28125" style="0" customWidth="1"/>
    <col min="5" max="5" width="13.57421875" style="0" customWidth="1"/>
    <col min="6" max="6" width="16.57421875" style="0" customWidth="1"/>
    <col min="10" max="10" width="12.421875" style="0" customWidth="1"/>
    <col min="11" max="11" width="16.00390625" style="0" customWidth="1"/>
    <col min="12" max="12" width="17.7109375" style="0" customWidth="1"/>
    <col min="13" max="13" width="17.00390625" style="0" customWidth="1"/>
    <col min="14" max="14" width="12.8515625" style="0" bestFit="1" customWidth="1"/>
    <col min="15" max="15" width="9.28125" style="0" bestFit="1" customWidth="1"/>
  </cols>
  <sheetData>
    <row r="1" ht="18.75" thickBot="1">
      <c r="A1" s="3" t="s">
        <v>628</v>
      </c>
    </row>
    <row r="2" spans="1:6" ht="12.75">
      <c r="A2" s="512"/>
      <c r="B2" s="513"/>
      <c r="C2" s="513"/>
      <c r="D2" s="513" t="s">
        <v>447</v>
      </c>
      <c r="E2" s="513" t="s">
        <v>448</v>
      </c>
      <c r="F2" s="514" t="s">
        <v>449</v>
      </c>
    </row>
    <row r="3" spans="1:6" ht="12.75">
      <c r="A3" s="480" t="s">
        <v>442</v>
      </c>
      <c r="B3" s="40"/>
      <c r="C3" s="40"/>
      <c r="D3" s="40">
        <v>3082</v>
      </c>
      <c r="E3" s="40"/>
      <c r="F3" s="477"/>
    </row>
    <row r="4" spans="1:6" ht="12.75">
      <c r="A4" s="480" t="s">
        <v>443</v>
      </c>
      <c r="B4" s="40"/>
      <c r="C4" s="40"/>
      <c r="D4" s="40">
        <f>+D3*0.1</f>
        <v>308.20000000000005</v>
      </c>
      <c r="E4" s="475">
        <f>+D4/D$3</f>
        <v>0.10000000000000002</v>
      </c>
      <c r="F4" s="476">
        <f>+E4*0.19</f>
        <v>0.019000000000000003</v>
      </c>
    </row>
    <row r="5" spans="1:6" ht="12.75">
      <c r="A5" s="480" t="s">
        <v>178</v>
      </c>
      <c r="B5" s="40"/>
      <c r="C5" s="40"/>
      <c r="D5" s="507">
        <f>+F22</f>
        <v>31.7</v>
      </c>
      <c r="E5" s="475">
        <f>+D5/D$3</f>
        <v>0.010285528877352368</v>
      </c>
      <c r="F5" s="508">
        <f>+E5*0.19</f>
        <v>0.00195425048669695</v>
      </c>
    </row>
    <row r="6" spans="1:6" ht="12.75">
      <c r="A6" s="480" t="s">
        <v>179</v>
      </c>
      <c r="B6" s="40"/>
      <c r="C6" s="40"/>
      <c r="D6" s="40">
        <f>+E49</f>
        <v>81</v>
      </c>
      <c r="E6" s="475">
        <f>+D6/D$3</f>
        <v>0.02628163530175211</v>
      </c>
      <c r="F6" s="508">
        <f>+E6*0.19</f>
        <v>0.004993510707332901</v>
      </c>
    </row>
    <row r="7" spans="1:6" ht="13.5" thickBot="1">
      <c r="A7" s="509" t="s">
        <v>444</v>
      </c>
      <c r="B7" s="478"/>
      <c r="C7" s="478"/>
      <c r="D7" s="510">
        <f>+D4-D6-D5</f>
        <v>195.50000000000006</v>
      </c>
      <c r="E7" s="479">
        <f>+D7/D$3</f>
        <v>0.06343283582089554</v>
      </c>
      <c r="F7" s="511">
        <f>+E7*0.19</f>
        <v>0.012052238805970153</v>
      </c>
    </row>
    <row r="9" ht="12.75">
      <c r="A9" s="232" t="s">
        <v>445</v>
      </c>
    </row>
    <row r="10" ht="12.75">
      <c r="A10" s="232" t="s">
        <v>446</v>
      </c>
    </row>
    <row r="11" ht="12.75">
      <c r="A11" s="232" t="s">
        <v>450</v>
      </c>
    </row>
    <row r="13" spans="1:15" ht="15.75">
      <c r="A13" s="77" t="s">
        <v>135</v>
      </c>
      <c r="J13" s="539" t="s">
        <v>136</v>
      </c>
      <c r="K13" s="539"/>
      <c r="L13" s="539"/>
      <c r="M13" s="539"/>
      <c r="N13" s="539"/>
      <c r="O13" s="539"/>
    </row>
    <row r="14" spans="6:15" s="78" customFormat="1" ht="38.25">
      <c r="F14" s="231"/>
      <c r="G14" s="79"/>
      <c r="H14" s="79"/>
      <c r="J14" s="80"/>
      <c r="K14" s="80" t="s">
        <v>137</v>
      </c>
      <c r="L14" s="80" t="s">
        <v>138</v>
      </c>
      <c r="M14" s="80" t="s">
        <v>139</v>
      </c>
      <c r="N14" s="80" t="s">
        <v>140</v>
      </c>
      <c r="O14" s="81" t="s">
        <v>141</v>
      </c>
    </row>
    <row r="15" spans="6:20" ht="12.75">
      <c r="F15" s="82"/>
      <c r="G15" s="82"/>
      <c r="H15" s="82"/>
      <c r="J15">
        <v>2008</v>
      </c>
      <c r="K15" s="83">
        <f>1.55</f>
        <v>1.55</v>
      </c>
      <c r="L15" s="84">
        <v>21000</v>
      </c>
      <c r="M15" s="84">
        <f>L15*365</f>
        <v>7665000</v>
      </c>
      <c r="N15" s="84">
        <f>0.15*M15</f>
        <v>1149750</v>
      </c>
      <c r="O15" s="85">
        <f aca="true" t="shared" si="0" ref="O15:O27">N15/1000000</f>
        <v>1.14975</v>
      </c>
      <c r="R15" s="126"/>
      <c r="S15" s="82"/>
      <c r="T15" s="82"/>
    </row>
    <row r="16" spans="1:20" ht="12.75">
      <c r="A16" t="s">
        <v>142</v>
      </c>
      <c r="E16" s="83"/>
      <c r="F16" s="86">
        <v>3.3</v>
      </c>
      <c r="G16" s="86"/>
      <c r="H16" s="82"/>
      <c r="J16">
        <f>1+J15</f>
        <v>2009</v>
      </c>
      <c r="K16" s="83">
        <f>1.25*K15</f>
        <v>1.9375</v>
      </c>
      <c r="L16" s="84">
        <f>K16*$L$15</f>
        <v>40687.5</v>
      </c>
      <c r="M16" s="84">
        <f aca="true" t="shared" si="1" ref="M16:M27">L16*365</f>
        <v>14850937.5</v>
      </c>
      <c r="N16" s="84">
        <f aca="true" t="shared" si="2" ref="N16:N27">0.15*M16</f>
        <v>2227640.625</v>
      </c>
      <c r="O16" s="85">
        <f t="shared" si="0"/>
        <v>2.227640625</v>
      </c>
      <c r="R16" s="82"/>
      <c r="S16" s="82"/>
      <c r="T16" s="82"/>
    </row>
    <row r="17" spans="5:20" ht="12.75">
      <c r="E17" s="83"/>
      <c r="F17" s="86"/>
      <c r="G17" s="86"/>
      <c r="H17" s="82"/>
      <c r="J17">
        <f aca="true" t="shared" si="3" ref="J17:J27">1+J16</f>
        <v>2010</v>
      </c>
      <c r="K17" s="83">
        <f aca="true" t="shared" si="4" ref="K17:K27">1.25*K16</f>
        <v>2.421875</v>
      </c>
      <c r="L17" s="84">
        <f aca="true" t="shared" si="5" ref="L17:L27">K17*$L$15</f>
        <v>50859.375</v>
      </c>
      <c r="M17" s="84">
        <f t="shared" si="1"/>
        <v>18563671.875</v>
      </c>
      <c r="N17" s="84">
        <f t="shared" si="2"/>
        <v>2784550.78125</v>
      </c>
      <c r="O17" s="85">
        <f t="shared" si="0"/>
        <v>2.78455078125</v>
      </c>
      <c r="R17" s="82"/>
      <c r="S17" s="82"/>
      <c r="T17" s="82"/>
    </row>
    <row r="18" spans="1:20" ht="12.75">
      <c r="A18" t="s">
        <v>143</v>
      </c>
      <c r="E18" s="83"/>
      <c r="F18" s="86">
        <v>2</v>
      </c>
      <c r="G18" s="86"/>
      <c r="H18" s="82"/>
      <c r="J18">
        <f t="shared" si="3"/>
        <v>2011</v>
      </c>
      <c r="K18" s="83">
        <f t="shared" si="4"/>
        <v>3.02734375</v>
      </c>
      <c r="L18" s="84">
        <f t="shared" si="5"/>
        <v>63574.21875</v>
      </c>
      <c r="M18" s="84">
        <f t="shared" si="1"/>
        <v>23204589.84375</v>
      </c>
      <c r="N18" s="84">
        <f t="shared" si="2"/>
        <v>3480688.4765625</v>
      </c>
      <c r="O18" s="85">
        <f t="shared" si="0"/>
        <v>3.4806884765625</v>
      </c>
      <c r="R18" s="82"/>
      <c r="S18" s="82"/>
      <c r="T18" s="82"/>
    </row>
    <row r="19" spans="5:20" ht="12.75">
      <c r="E19" s="83"/>
      <c r="F19" s="82"/>
      <c r="G19" s="82"/>
      <c r="H19" s="82"/>
      <c r="J19">
        <f t="shared" si="3"/>
        <v>2012</v>
      </c>
      <c r="K19" s="83">
        <f t="shared" si="4"/>
        <v>3.7841796875</v>
      </c>
      <c r="L19" s="84">
        <f t="shared" si="5"/>
        <v>79467.7734375</v>
      </c>
      <c r="M19" s="84">
        <f t="shared" si="1"/>
        <v>29005737.3046875</v>
      </c>
      <c r="N19" s="84">
        <f t="shared" si="2"/>
        <v>4350860.595703125</v>
      </c>
      <c r="O19" s="85">
        <f t="shared" si="0"/>
        <v>4.350860595703125</v>
      </c>
      <c r="R19" s="82"/>
      <c r="S19" s="82"/>
      <c r="T19" s="82"/>
    </row>
    <row r="20" spans="1:20" ht="12.75">
      <c r="A20" t="s">
        <v>144</v>
      </c>
      <c r="E20" s="83"/>
      <c r="F20" s="86">
        <v>26.4</v>
      </c>
      <c r="G20" s="87"/>
      <c r="H20" s="82"/>
      <c r="I20" s="82"/>
      <c r="J20">
        <f t="shared" si="3"/>
        <v>2013</v>
      </c>
      <c r="K20" s="83">
        <f t="shared" si="4"/>
        <v>4.730224609375</v>
      </c>
      <c r="L20" s="84">
        <f t="shared" si="5"/>
        <v>99334.716796875</v>
      </c>
      <c r="M20" s="84">
        <f t="shared" si="1"/>
        <v>36257171.630859375</v>
      </c>
      <c r="N20" s="84">
        <f t="shared" si="2"/>
        <v>5438575.744628906</v>
      </c>
      <c r="O20" s="85">
        <f t="shared" si="0"/>
        <v>5.438575744628906</v>
      </c>
      <c r="R20" s="82"/>
      <c r="S20" s="82"/>
      <c r="T20" s="82"/>
    </row>
    <row r="21" spans="5:20" ht="12.75">
      <c r="E21" s="83"/>
      <c r="F21" s="82"/>
      <c r="G21" s="82"/>
      <c r="H21" s="82"/>
      <c r="J21">
        <f t="shared" si="3"/>
        <v>2014</v>
      </c>
      <c r="K21" s="83">
        <f t="shared" si="4"/>
        <v>5.91278076171875</v>
      </c>
      <c r="L21" s="84">
        <f t="shared" si="5"/>
        <v>124168.39599609375</v>
      </c>
      <c r="M21" s="84">
        <f t="shared" si="1"/>
        <v>45321464.53857422</v>
      </c>
      <c r="N21" s="84">
        <f t="shared" si="2"/>
        <v>6798219.680786133</v>
      </c>
      <c r="O21" s="85">
        <f t="shared" si="0"/>
        <v>6.798219680786133</v>
      </c>
      <c r="R21" s="82"/>
      <c r="S21" s="82"/>
      <c r="T21" s="82"/>
    </row>
    <row r="22" spans="1:20" ht="12.75">
      <c r="A22" t="s">
        <v>145</v>
      </c>
      <c r="E22" s="83"/>
      <c r="F22" s="86">
        <f>SUM(F16:F20)</f>
        <v>31.7</v>
      </c>
      <c r="G22" s="82"/>
      <c r="H22" s="82"/>
      <c r="J22">
        <f t="shared" si="3"/>
        <v>2015</v>
      </c>
      <c r="K22" s="83">
        <f t="shared" si="4"/>
        <v>7.3909759521484375</v>
      </c>
      <c r="L22" s="84">
        <f t="shared" si="5"/>
        <v>155210.4949951172</v>
      </c>
      <c r="M22" s="84">
        <f t="shared" si="1"/>
        <v>56651830.67321777</v>
      </c>
      <c r="N22" s="84">
        <f t="shared" si="2"/>
        <v>8497774.600982666</v>
      </c>
      <c r="O22" s="85">
        <f>N22/1000000</f>
        <v>8.497774600982666</v>
      </c>
      <c r="R22" s="82"/>
      <c r="S22" s="82"/>
      <c r="T22" s="82"/>
    </row>
    <row r="23" spans="6:20" ht="12.75">
      <c r="F23" s="82"/>
      <c r="G23" s="82"/>
      <c r="H23" s="82"/>
      <c r="J23">
        <f t="shared" si="3"/>
        <v>2016</v>
      </c>
      <c r="K23" s="83">
        <f t="shared" si="4"/>
        <v>9.238719940185547</v>
      </c>
      <c r="L23" s="84">
        <f t="shared" si="5"/>
        <v>194013.11874389648</v>
      </c>
      <c r="M23" s="84">
        <f t="shared" si="1"/>
        <v>70814788.34152222</v>
      </c>
      <c r="N23" s="84">
        <f t="shared" si="2"/>
        <v>10622218.251228333</v>
      </c>
      <c r="O23" s="85">
        <f t="shared" si="0"/>
        <v>10.622218251228333</v>
      </c>
      <c r="R23" s="82"/>
      <c r="S23" s="82"/>
      <c r="T23" s="82"/>
    </row>
    <row r="24" spans="1:15" ht="12.75">
      <c r="A24" t="s">
        <v>146</v>
      </c>
      <c r="F24" s="82">
        <v>3082</v>
      </c>
      <c r="G24" s="82"/>
      <c r="H24" s="82"/>
      <c r="J24">
        <f t="shared" si="3"/>
        <v>2017</v>
      </c>
      <c r="K24" s="83">
        <f t="shared" si="4"/>
        <v>11.548399925231934</v>
      </c>
      <c r="L24" s="84">
        <f t="shared" si="5"/>
        <v>242516.3984298706</v>
      </c>
      <c r="M24" s="84">
        <f t="shared" si="1"/>
        <v>88518485.42690277</v>
      </c>
      <c r="N24" s="84">
        <f t="shared" si="2"/>
        <v>13277772.814035416</v>
      </c>
      <c r="O24" s="85">
        <f t="shared" si="0"/>
        <v>13.277772814035416</v>
      </c>
    </row>
    <row r="25" spans="6:15" ht="12.75">
      <c r="F25" s="82"/>
      <c r="G25" s="82"/>
      <c r="H25" s="82"/>
      <c r="J25">
        <f t="shared" si="3"/>
        <v>2018</v>
      </c>
      <c r="K25" s="83">
        <f t="shared" si="4"/>
        <v>14.435499906539917</v>
      </c>
      <c r="L25" s="84">
        <f t="shared" si="5"/>
        <v>303145.49803733826</v>
      </c>
      <c r="M25" s="84">
        <f t="shared" si="1"/>
        <v>110648106.78362846</v>
      </c>
      <c r="N25" s="84">
        <f t="shared" si="2"/>
        <v>16597216.01754427</v>
      </c>
      <c r="O25" s="85">
        <f t="shared" si="0"/>
        <v>16.59721601754427</v>
      </c>
    </row>
    <row r="26" spans="1:15" ht="12.75">
      <c r="A26" s="126" t="s">
        <v>147</v>
      </c>
      <c r="B26" s="126"/>
      <c r="C26" s="126"/>
      <c r="D26" s="126"/>
      <c r="E26" s="123"/>
      <c r="F26" s="498">
        <f>F22/F24</f>
        <v>0.010285528877352368</v>
      </c>
      <c r="G26" s="88"/>
      <c r="H26" s="82"/>
      <c r="J26">
        <f t="shared" si="3"/>
        <v>2019</v>
      </c>
      <c r="K26" s="83">
        <f t="shared" si="4"/>
        <v>18.044374883174896</v>
      </c>
      <c r="L26" s="84">
        <f t="shared" si="5"/>
        <v>378931.8725466728</v>
      </c>
      <c r="M26" s="84">
        <f t="shared" si="1"/>
        <v>138310133.47953558</v>
      </c>
      <c r="N26" s="84">
        <f t="shared" si="2"/>
        <v>20746520.021930337</v>
      </c>
      <c r="O26" s="85">
        <f t="shared" si="0"/>
        <v>20.746520021930337</v>
      </c>
    </row>
    <row r="27" spans="5:15" ht="12.75">
      <c r="E27" s="1"/>
      <c r="F27" s="499"/>
      <c r="G27" s="88"/>
      <c r="H27" s="82"/>
      <c r="J27">
        <f t="shared" si="3"/>
        <v>2020</v>
      </c>
      <c r="K27" s="83">
        <f t="shared" si="4"/>
        <v>22.55546860396862</v>
      </c>
      <c r="L27" s="84">
        <f t="shared" si="5"/>
        <v>473664.840683341</v>
      </c>
      <c r="M27" s="84">
        <f t="shared" si="1"/>
        <v>172887666.84941947</v>
      </c>
      <c r="N27" s="84">
        <f t="shared" si="2"/>
        <v>25933150.02741292</v>
      </c>
      <c r="O27" s="85">
        <f t="shared" si="0"/>
        <v>25.93315002741292</v>
      </c>
    </row>
    <row r="28" spans="1:15" ht="12.75">
      <c r="A28" s="4" t="s">
        <v>148</v>
      </c>
      <c r="B28" s="4"/>
      <c r="C28" s="4"/>
      <c r="D28" s="4"/>
      <c r="E28" s="497"/>
      <c r="F28" s="498">
        <f>F26*0.19</f>
        <v>0.00195425048669695</v>
      </c>
      <c r="G28" s="88"/>
      <c r="H28" s="82"/>
      <c r="J28" s="89" t="s">
        <v>149</v>
      </c>
      <c r="K28" s="89"/>
      <c r="L28" s="89"/>
      <c r="M28" s="89"/>
      <c r="N28" s="89"/>
      <c r="O28" s="89"/>
    </row>
    <row r="29" spans="10:15" ht="12.75">
      <c r="J29" s="89" t="s">
        <v>150</v>
      </c>
      <c r="K29" s="89"/>
      <c r="L29" s="89"/>
      <c r="M29" s="89"/>
      <c r="N29" s="89"/>
      <c r="O29" s="89"/>
    </row>
    <row r="30" spans="1:15" s="43" customFormat="1" ht="25.5">
      <c r="A30" s="124" t="s">
        <v>128</v>
      </c>
      <c r="J30" s="90" t="s">
        <v>151</v>
      </c>
      <c r="K30" s="90" t="s">
        <v>152</v>
      </c>
      <c r="L30" s="90" t="s">
        <v>153</v>
      </c>
      <c r="M30" s="90" t="s">
        <v>154</v>
      </c>
      <c r="N30" s="90" t="s">
        <v>155</v>
      </c>
      <c r="O30" s="90" t="s">
        <v>156</v>
      </c>
    </row>
    <row r="31" spans="1:16" ht="12.75">
      <c r="A31" t="s">
        <v>157</v>
      </c>
      <c r="J31" s="91">
        <v>35.03701007159325</v>
      </c>
      <c r="K31" s="91">
        <v>6.640349640490625</v>
      </c>
      <c r="L31" s="91">
        <v>27.318602339628416</v>
      </c>
      <c r="M31" s="91">
        <v>15.016561276723879</v>
      </c>
      <c r="N31" s="91">
        <v>11.339021517423653</v>
      </c>
      <c r="O31" s="91">
        <v>4.970760233918128</v>
      </c>
      <c r="P31" s="92"/>
    </row>
    <row r="32" spans="1:15" ht="12.75">
      <c r="A32" t="s">
        <v>158</v>
      </c>
      <c r="J32" s="540" t="s">
        <v>159</v>
      </c>
      <c r="K32" s="540"/>
      <c r="L32" s="92" t="s">
        <v>160</v>
      </c>
      <c r="M32" s="92"/>
      <c r="N32" s="92"/>
      <c r="O32" s="92"/>
    </row>
    <row r="33" spans="1:12" ht="12.75">
      <c r="A33" s="82" t="s">
        <v>161</v>
      </c>
      <c r="B33" s="82"/>
      <c r="C33" s="82"/>
      <c r="D33" s="82"/>
      <c r="E33" s="82"/>
      <c r="F33" s="82"/>
      <c r="G33" s="82"/>
      <c r="H33" s="82"/>
      <c r="I33" s="82"/>
      <c r="J33" s="89" t="s">
        <v>162</v>
      </c>
      <c r="K33" s="89"/>
      <c r="L33" s="89"/>
    </row>
    <row r="34" spans="1:15" ht="12.75">
      <c r="A34" t="s">
        <v>163</v>
      </c>
      <c r="J34" t="s">
        <v>151</v>
      </c>
      <c r="K34" t="s">
        <v>152</v>
      </c>
      <c r="L34" t="s">
        <v>153</v>
      </c>
      <c r="M34" t="s">
        <v>154</v>
      </c>
      <c r="N34" t="s">
        <v>155</v>
      </c>
      <c r="O34" t="s">
        <v>156</v>
      </c>
    </row>
    <row r="35" spans="1:16" ht="12.75">
      <c r="A35" t="s">
        <v>164</v>
      </c>
      <c r="J35" s="93">
        <v>47.99590420766199</v>
      </c>
      <c r="K35" s="93">
        <v>9.096369370535102</v>
      </c>
      <c r="L35" s="93">
        <v>0</v>
      </c>
      <c r="M35" s="93">
        <v>20.57063188592312</v>
      </c>
      <c r="N35" s="93">
        <v>15.532906188251578</v>
      </c>
      <c r="O35" s="93">
        <v>6.809260594408395</v>
      </c>
      <c r="P35" s="92"/>
    </row>
    <row r="36" spans="10:15" ht="12.75">
      <c r="J36" s="540" t="s">
        <v>165</v>
      </c>
      <c r="K36" s="540"/>
      <c r="L36" s="92" t="s">
        <v>166</v>
      </c>
      <c r="M36" s="92"/>
      <c r="N36" s="92"/>
      <c r="O36" s="92"/>
    </row>
    <row r="38" spans="10:13" ht="12.75">
      <c r="J38" s="89" t="s">
        <v>167</v>
      </c>
      <c r="K38" s="89"/>
      <c r="L38" s="89"/>
      <c r="M38" s="89"/>
    </row>
    <row r="40" ht="15.75">
      <c r="A40" s="77" t="s">
        <v>168</v>
      </c>
    </row>
    <row r="41" spans="10:11" ht="12.75">
      <c r="J41" s="126"/>
      <c r="K41" s="82"/>
    </row>
    <row r="42" spans="1:11" ht="12.75">
      <c r="A42" t="s">
        <v>169</v>
      </c>
      <c r="E42">
        <v>18000</v>
      </c>
      <c r="J42" s="82"/>
      <c r="K42" s="82"/>
    </row>
    <row r="43" spans="10:11" ht="12.75">
      <c r="J43" s="82"/>
      <c r="K43" s="82"/>
    </row>
    <row r="44" spans="1:11" ht="12.75">
      <c r="A44" t="s">
        <v>170</v>
      </c>
      <c r="E44">
        <v>2500</v>
      </c>
      <c r="J44" s="82"/>
      <c r="K44" s="82"/>
    </row>
    <row r="45" spans="1:11" ht="12.75">
      <c r="A45" s="474" t="s">
        <v>171</v>
      </c>
      <c r="B45" s="82"/>
      <c r="C45" s="82"/>
      <c r="D45" s="82"/>
      <c r="E45">
        <f>+E44*0.6</f>
        <v>1500</v>
      </c>
      <c r="J45" s="82"/>
      <c r="K45" s="82"/>
    </row>
    <row r="46" spans="1:11" ht="12.75">
      <c r="A46" s="94"/>
      <c r="J46" s="82"/>
      <c r="K46" s="82"/>
    </row>
    <row r="47" spans="1:11" ht="12.75">
      <c r="A47" t="s">
        <v>172</v>
      </c>
      <c r="E47">
        <f>(+E45*E42)/1000000</f>
        <v>27</v>
      </c>
      <c r="J47" s="82"/>
      <c r="K47" s="82"/>
    </row>
    <row r="48" spans="10:11" ht="12.75">
      <c r="J48" s="82"/>
      <c r="K48" s="82"/>
    </row>
    <row r="49" spans="1:11" ht="12.75">
      <c r="A49" t="s">
        <v>173</v>
      </c>
      <c r="E49">
        <f>+E47*3</f>
        <v>81</v>
      </c>
      <c r="J49" s="82"/>
      <c r="K49" s="82"/>
    </row>
    <row r="51" spans="1:9" ht="12.75">
      <c r="A51" s="126" t="s">
        <v>174</v>
      </c>
      <c r="B51" s="126"/>
      <c r="C51" s="126"/>
      <c r="D51" s="126"/>
      <c r="E51" s="498">
        <f>+E49/F24</f>
        <v>0.02628163530175211</v>
      </c>
      <c r="F51" s="82"/>
      <c r="G51" s="82"/>
      <c r="H51" s="82"/>
      <c r="I51" s="82"/>
    </row>
    <row r="52" spans="1:5" ht="12.75">
      <c r="A52" s="4"/>
      <c r="B52" s="4"/>
      <c r="C52" s="4"/>
      <c r="D52" s="4"/>
      <c r="E52" s="498"/>
    </row>
    <row r="53" spans="1:5" ht="12.75">
      <c r="A53" s="4" t="s">
        <v>175</v>
      </c>
      <c r="B53" s="4"/>
      <c r="C53" s="4"/>
      <c r="D53" s="4"/>
      <c r="E53" s="498">
        <f>+E51*0.19</f>
        <v>0.004993510707332901</v>
      </c>
    </row>
    <row r="55" ht="12.75">
      <c r="A55" s="4" t="s">
        <v>128</v>
      </c>
    </row>
    <row r="56" ht="12.75">
      <c r="A56" t="s">
        <v>176</v>
      </c>
    </row>
    <row r="57" ht="12.75">
      <c r="A57" t="s">
        <v>177</v>
      </c>
    </row>
    <row r="61" spans="1:11" ht="15.75">
      <c r="A61" s="517"/>
      <c r="B61" s="294"/>
      <c r="C61" s="294"/>
      <c r="D61" s="294"/>
      <c r="E61" s="294"/>
      <c r="F61" s="294"/>
      <c r="G61" s="294"/>
      <c r="H61" s="294"/>
      <c r="I61" s="294"/>
      <c r="J61" s="294"/>
      <c r="K61" s="294"/>
    </row>
    <row r="62" spans="1:11" ht="12.75">
      <c r="A62" s="294"/>
      <c r="B62" s="294"/>
      <c r="C62" s="294"/>
      <c r="D62" s="294"/>
      <c r="E62" s="294"/>
      <c r="F62" s="294"/>
      <c r="G62" s="294"/>
      <c r="H62" s="294"/>
      <c r="I62" s="294"/>
      <c r="J62" s="294"/>
      <c r="K62" s="294"/>
    </row>
    <row r="63" spans="1:11" ht="12.75">
      <c r="A63" s="294"/>
      <c r="B63" s="294"/>
      <c r="C63" s="294"/>
      <c r="D63" s="294"/>
      <c r="E63" s="294"/>
      <c r="F63" s="294"/>
      <c r="G63" s="294"/>
      <c r="H63" s="294"/>
      <c r="I63" s="294"/>
      <c r="J63" s="294"/>
      <c r="K63" s="294"/>
    </row>
    <row r="64" spans="1:13" ht="12.75">
      <c r="A64" s="294"/>
      <c r="B64" s="294"/>
      <c r="C64" s="294"/>
      <c r="D64" s="294"/>
      <c r="E64" s="294"/>
      <c r="F64" s="294"/>
      <c r="G64" s="294"/>
      <c r="H64" s="294"/>
      <c r="I64" s="294"/>
      <c r="J64" s="294"/>
      <c r="K64" s="294"/>
      <c r="L64" s="126"/>
      <c r="M64" s="82"/>
    </row>
    <row r="65" spans="1:13" ht="12.75">
      <c r="A65" s="294"/>
      <c r="B65" s="294"/>
      <c r="C65" s="294"/>
      <c r="D65" s="294"/>
      <c r="E65" s="515"/>
      <c r="F65" s="515"/>
      <c r="G65" s="294"/>
      <c r="H65" s="294"/>
      <c r="I65" s="294"/>
      <c r="J65" s="294"/>
      <c r="K65" s="294"/>
      <c r="L65" s="82"/>
      <c r="M65" s="82"/>
    </row>
    <row r="66" spans="1:13" ht="12.75">
      <c r="A66" s="294"/>
      <c r="B66" s="294"/>
      <c r="C66" s="294"/>
      <c r="D66" s="294"/>
      <c r="E66" s="294"/>
      <c r="F66" s="294"/>
      <c r="G66" s="294"/>
      <c r="H66" s="294"/>
      <c r="I66" s="294"/>
      <c r="J66" s="294"/>
      <c r="K66" s="294"/>
      <c r="L66" s="82"/>
      <c r="M66" s="82"/>
    </row>
    <row r="67" spans="1:13" ht="12.75">
      <c r="A67" s="285"/>
      <c r="B67" s="294"/>
      <c r="C67" s="294"/>
      <c r="D67" s="294"/>
      <c r="E67" s="515"/>
      <c r="F67" s="515"/>
      <c r="G67" s="294"/>
      <c r="H67" s="294"/>
      <c r="I67" s="294"/>
      <c r="J67" s="294"/>
      <c r="K67" s="294"/>
      <c r="L67" s="82"/>
      <c r="M67" s="82"/>
    </row>
    <row r="68" spans="1:13" ht="12.75">
      <c r="A68" s="294"/>
      <c r="B68" s="294"/>
      <c r="C68" s="294"/>
      <c r="D68" s="294"/>
      <c r="E68" s="515"/>
      <c r="F68" s="294"/>
      <c r="G68" s="294"/>
      <c r="H68" s="294"/>
      <c r="I68" s="294"/>
      <c r="J68" s="294"/>
      <c r="K68" s="294"/>
      <c r="L68" s="82"/>
      <c r="M68" s="82"/>
    </row>
    <row r="69" spans="1:13" ht="12.75">
      <c r="A69" s="294"/>
      <c r="B69" s="294"/>
      <c r="C69" s="294"/>
      <c r="D69" s="294"/>
      <c r="E69" s="515"/>
      <c r="F69" s="515"/>
      <c r="G69" s="294"/>
      <c r="H69" s="294"/>
      <c r="I69" s="294"/>
      <c r="J69" s="294"/>
      <c r="K69" s="294"/>
      <c r="L69" s="82"/>
      <c r="M69" s="82"/>
    </row>
    <row r="70" spans="1:13" ht="12.75">
      <c r="A70" s="294"/>
      <c r="B70" s="294"/>
      <c r="C70" s="294"/>
      <c r="D70" s="294"/>
      <c r="E70" s="294"/>
      <c r="F70" s="294"/>
      <c r="G70" s="294"/>
      <c r="H70" s="294"/>
      <c r="I70" s="294"/>
      <c r="J70" s="294"/>
      <c r="K70" s="294"/>
      <c r="L70" s="82"/>
      <c r="M70" s="82"/>
    </row>
    <row r="71" spans="1:13" ht="12.75">
      <c r="A71" s="294"/>
      <c r="B71" s="294"/>
      <c r="C71" s="294"/>
      <c r="D71" s="294"/>
      <c r="E71" s="294"/>
      <c r="F71" s="294"/>
      <c r="G71" s="294"/>
      <c r="H71" s="294"/>
      <c r="I71" s="294"/>
      <c r="J71" s="294"/>
      <c r="K71" s="294"/>
      <c r="L71" s="82"/>
      <c r="M71" s="82"/>
    </row>
    <row r="72" spans="1:13" ht="12.75">
      <c r="A72" s="294"/>
      <c r="B72" s="294"/>
      <c r="C72" s="294"/>
      <c r="D72" s="294"/>
      <c r="E72" s="518"/>
      <c r="F72" s="294"/>
      <c r="G72" s="294"/>
      <c r="H72" s="294"/>
      <c r="I72" s="294"/>
      <c r="J72" s="294"/>
      <c r="K72" s="294"/>
      <c r="L72" s="82"/>
      <c r="M72" s="82"/>
    </row>
    <row r="73" spans="1:11" ht="15.75">
      <c r="A73" s="517"/>
      <c r="B73" s="294"/>
      <c r="C73" s="294"/>
      <c r="D73" s="294"/>
      <c r="E73" s="294"/>
      <c r="F73" s="294"/>
      <c r="G73" s="294"/>
      <c r="H73" s="294"/>
      <c r="I73" s="294"/>
      <c r="J73" s="294"/>
      <c r="K73" s="294"/>
    </row>
    <row r="74" spans="1:11" ht="12.75">
      <c r="A74" s="294"/>
      <c r="B74" s="294"/>
      <c r="C74" s="294"/>
      <c r="D74" s="294"/>
      <c r="E74" s="519"/>
      <c r="F74" s="519"/>
      <c r="G74" s="520"/>
      <c r="H74" s="294"/>
      <c r="I74" s="294"/>
      <c r="J74" s="294"/>
      <c r="K74" s="294"/>
    </row>
    <row r="75" spans="1:11" ht="12.75">
      <c r="A75" s="325"/>
      <c r="B75" s="294"/>
      <c r="C75" s="294"/>
      <c r="D75" s="294"/>
      <c r="E75" s="515"/>
      <c r="F75" s="515"/>
      <c r="G75" s="515"/>
      <c r="H75" s="294"/>
      <c r="I75" s="294"/>
      <c r="J75" s="294"/>
      <c r="K75" s="294"/>
    </row>
    <row r="76" spans="1:11" ht="12.75">
      <c r="A76" s="325"/>
      <c r="B76" s="294"/>
      <c r="C76" s="294"/>
      <c r="D76" s="294"/>
      <c r="E76" s="515"/>
      <c r="F76" s="515"/>
      <c r="G76" s="515"/>
      <c r="H76" s="294"/>
      <c r="I76" s="294"/>
      <c r="J76" s="294"/>
      <c r="K76" s="294"/>
    </row>
    <row r="77" spans="1:11" ht="12.75">
      <c r="A77" s="325"/>
      <c r="B77" s="326"/>
      <c r="C77" s="326"/>
      <c r="D77" s="326"/>
      <c r="E77" s="516"/>
      <c r="F77" s="515"/>
      <c r="G77" s="515"/>
      <c r="H77" s="294"/>
      <c r="I77" s="294"/>
      <c r="J77" s="294"/>
      <c r="K77" s="294"/>
    </row>
    <row r="78" spans="1:11" ht="12.75">
      <c r="A78" s="294"/>
      <c r="B78" s="294"/>
      <c r="C78" s="294"/>
      <c r="D78" s="294"/>
      <c r="E78" s="294"/>
      <c r="F78" s="294"/>
      <c r="G78" s="294"/>
      <c r="H78" s="294"/>
      <c r="I78" s="294"/>
      <c r="J78" s="294"/>
      <c r="K78" s="294"/>
    </row>
    <row r="79" spans="1:11" ht="12.75">
      <c r="A79" s="294"/>
      <c r="B79" s="294"/>
      <c r="C79" s="294"/>
      <c r="D79" s="294"/>
      <c r="E79" s="515"/>
      <c r="F79" s="515"/>
      <c r="G79" s="515"/>
      <c r="H79" s="294"/>
      <c r="I79" s="294"/>
      <c r="J79" s="294"/>
      <c r="K79" s="294"/>
    </row>
    <row r="80" spans="1:11" ht="12.75">
      <c r="A80" s="294"/>
      <c r="B80" s="294"/>
      <c r="C80" s="294"/>
      <c r="D80" s="294"/>
      <c r="E80" s="294"/>
      <c r="F80" s="294"/>
      <c r="G80" s="294"/>
      <c r="H80" s="294"/>
      <c r="I80" s="294"/>
      <c r="J80" s="294"/>
      <c r="K80" s="294"/>
    </row>
    <row r="81" spans="1:11" ht="12.75">
      <c r="A81" s="285"/>
      <c r="B81" s="294"/>
      <c r="C81" s="294"/>
      <c r="D81" s="294"/>
      <c r="E81" s="294"/>
      <c r="F81" s="294"/>
      <c r="G81" s="294"/>
      <c r="H81" s="294"/>
      <c r="I81" s="294"/>
      <c r="J81" s="294"/>
      <c r="K81" s="294"/>
    </row>
    <row r="82" spans="1:11" ht="12.75">
      <c r="A82" s="294"/>
      <c r="B82" s="294"/>
      <c r="C82" s="294"/>
      <c r="D82" s="294"/>
      <c r="E82" s="294"/>
      <c r="F82" s="294"/>
      <c r="G82" s="294"/>
      <c r="H82" s="294"/>
      <c r="I82" s="294"/>
      <c r="J82" s="294"/>
      <c r="K82" s="294"/>
    </row>
    <row r="83" spans="1:11" ht="12.75">
      <c r="A83" s="294"/>
      <c r="B83" s="294"/>
      <c r="C83" s="294"/>
      <c r="D83" s="294"/>
      <c r="E83" s="294"/>
      <c r="F83" s="294"/>
      <c r="G83" s="294"/>
      <c r="H83" s="294"/>
      <c r="I83" s="294"/>
      <c r="J83" s="294"/>
      <c r="K83" s="294"/>
    </row>
  </sheetData>
  <sheetProtection/>
  <mergeCells count="3">
    <mergeCell ref="J13:O13"/>
    <mergeCell ref="J32:K32"/>
    <mergeCell ref="J36:K3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Raab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Raab</dc:creator>
  <cp:keywords/>
  <dc:description/>
  <cp:lastModifiedBy>JacobG</cp:lastModifiedBy>
  <cp:lastPrinted>2010-01-05T16:09:14Z</cp:lastPrinted>
  <dcterms:created xsi:type="dcterms:W3CDTF">2009-12-10T18:53:42Z</dcterms:created>
  <dcterms:modified xsi:type="dcterms:W3CDTF">2010-04-26T18:50:12Z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